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defaultThemeVersion="166925"/>
  <mc:AlternateContent xmlns:mc="http://schemas.openxmlformats.org/markup-compatibility/2006">
    <mc:Choice Requires="x15">
      <x15ac:absPath xmlns:x15ac="http://schemas.microsoft.com/office/spreadsheetml/2010/11/ac" url="C:\Users\oarandiaa\Desktop\"/>
    </mc:Choice>
  </mc:AlternateContent>
  <xr:revisionPtr revIDLastSave="0" documentId="8_{8A3DD718-1927-4643-8D09-8A0BBD8E7113}" xr6:coauthVersionLast="47" xr6:coauthVersionMax="47" xr10:uidLastSave="{00000000-0000-0000-0000-000000000000}"/>
  <bookViews>
    <workbookView xWindow="-120" yWindow="-120" windowWidth="20730" windowHeight="11160" firstSheet="2" activeTab="4"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Base a pegar" sheetId="12"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3" i="12" l="1"/>
  <c r="BH3" i="12"/>
  <c r="BG3" i="12"/>
  <c r="BF3" i="12"/>
  <c r="BE3" i="12"/>
  <c r="BD3" i="12"/>
  <c r="BC3" i="12"/>
  <c r="BB3" i="12"/>
  <c r="C14" i="12"/>
  <c r="D14" i="12"/>
  <c r="E14" i="12"/>
  <c r="F14" i="12"/>
  <c r="C15" i="12"/>
  <c r="D15" i="12"/>
  <c r="E15" i="12"/>
  <c r="F15" i="12"/>
  <c r="C16" i="12"/>
  <c r="D16" i="12"/>
  <c r="E16" i="12"/>
  <c r="F16" i="12"/>
  <c r="C17" i="12"/>
  <c r="D17" i="12"/>
  <c r="E17" i="12"/>
  <c r="F17" i="12"/>
  <c r="C18" i="12"/>
  <c r="D18" i="12"/>
  <c r="E18" i="12"/>
  <c r="F18" i="12"/>
  <c r="D13" i="12"/>
  <c r="E13" i="12"/>
  <c r="F13" i="12"/>
  <c r="C13" i="12"/>
  <c r="B3" i="12"/>
  <c r="A3" i="12"/>
  <c r="A15" i="12" s="1"/>
  <c r="BP3" i="12"/>
  <c r="A14" i="12" l="1"/>
  <c r="A13" i="12"/>
  <c r="A18" i="12"/>
  <c r="A17" i="12"/>
  <c r="A16" i="12"/>
  <c r="C12" i="5"/>
  <c r="V3" i="7"/>
  <c r="G14" i="1" l="1"/>
  <c r="G15" i="12" s="1"/>
  <c r="G13" i="1"/>
  <c r="G14" i="12" s="1"/>
  <c r="G15" i="1"/>
  <c r="G16" i="12" s="1"/>
  <c r="G16" i="1"/>
  <c r="G17" i="12" s="1"/>
  <c r="G17" i="1"/>
  <c r="G18" i="12" s="1"/>
  <c r="G12" i="1"/>
  <c r="G13" i="12" s="1"/>
  <c r="BO3" i="12" l="1"/>
  <c r="BN3" i="12"/>
  <c r="BM3" i="12"/>
  <c r="BL3" i="12"/>
  <c r="BK3" i="12"/>
  <c r="BJ3" i="12"/>
  <c r="Q3" i="12" l="1"/>
  <c r="P3" i="12"/>
  <c r="O3" i="12"/>
  <c r="N3" i="12"/>
  <c r="M3" i="12"/>
  <c r="L3" i="12"/>
  <c r="K3" i="12"/>
  <c r="J3" i="12"/>
  <c r="I3" i="12"/>
  <c r="F17" i="5" l="1"/>
  <c r="F15" i="5"/>
  <c r="F10" i="5"/>
  <c r="C19" i="5"/>
  <c r="C17" i="5"/>
  <c r="C16" i="5"/>
  <c r="T16" i="10"/>
  <c r="T12" i="10"/>
  <c r="W3" i="8"/>
  <c r="C25" i="8" s="1"/>
  <c r="T17" i="10" l="1"/>
  <c r="F13" i="5" s="1"/>
  <c r="V2" i="9"/>
  <c r="V3" i="9" s="1"/>
  <c r="F9" i="9" s="1"/>
  <c r="F11" i="5" l="1"/>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H3" i="12"/>
  <c r="G3" i="12"/>
  <c r="F3" i="12"/>
  <c r="E3" i="12"/>
  <c r="D3" i="12"/>
  <c r="C3" i="12"/>
  <c r="F19" i="5"/>
  <c r="F18" i="5"/>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<sst xmlns="http://schemas.openxmlformats.org/spreadsheetml/2006/main" count="264" uniqueCount="170">
  <si>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</si>
  <si>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</si>
  <si>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</si>
  <si>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</si>
  <si>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</si>
  <si>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</si>
  <si>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</si>
  <si>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</si>
  <si>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</si>
  <si>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</si>
  <si>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</si>
  <si>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</si>
  <si>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</si>
  <si>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</si>
  <si>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</si>
  <si>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</si>
  <si>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</si>
  <si>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</si>
  <si>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</si>
  <si>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</si>
  <si>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</si>
  <si>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</si>
  <si>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</si>
  <si>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</si>
  <si>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</si>
  <si>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</si>
  <si>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</si>
  <si>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de más de 33.000 SMMLV</t>
  </si>
  <si>
    <t>CANTIDAD DE PROCESOS ACTIVOS</t>
  </si>
  <si>
    <t>PROCESOS ACTIVOS REGISTRADOS EN EKOGUI</t>
  </si>
  <si>
    <t>PROCESOS SIN ABOGADO ASIGNADO</t>
  </si>
  <si>
    <t>PROCESOS</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</si>
  <si>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</si>
  <si>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</si>
  <si>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</si>
  <si>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</si>
  <si>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</si>
  <si>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</si>
  <si>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</si>
  <si>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</si>
  <si>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</si>
  <si>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</si>
  <si>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</si>
  <si>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</si>
  <si>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</si>
  <si>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</si>
  <si>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</si>
  <si>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</si>
  <si>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</si>
  <si>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Pagos relacionados</t>
  </si>
  <si>
    <t>Uso del módulo pagos</t>
  </si>
  <si>
    <t>Actualización más de 33.000 SMMLV</t>
  </si>
  <si>
    <t>REGISTRO EN 2020</t>
  </si>
  <si>
    <t>REGISTRO EN 2019</t>
  </si>
  <si>
    <t>REGISTRO EN 2018 Y ANTERIORES</t>
  </si>
  <si>
    <t>TOTAL PREJUDICIALES ACTIVOS</t>
  </si>
  <si>
    <t>Prejudiciales</t>
  </si>
  <si>
    <t>TOTAL PREJUDICIALES ACTIVOS EN EKOGUI</t>
  </si>
  <si>
    <t>TOTAL PROCESOS TERMINADOS</t>
  </si>
  <si>
    <t>CANTIDAD PREJUDICIALES</t>
  </si>
  <si>
    <t>Procesos que efectivamente se encuentran activos</t>
  </si>
  <si>
    <t>Proceso que se encuentran terminados</t>
  </si>
  <si>
    <t>TERMINADOS EN EKOGUI</t>
  </si>
  <si>
    <t>PROCESOS TERMINADOS EN 2020</t>
  </si>
  <si>
    <t>PROCESOS ACTIVOS CON ESTADO TERMINADO*</t>
  </si>
  <si>
    <t xml:space="preserve">Procesos de más de 33.000 SMMLV con la pieza demanda </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</si>
  <si>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</si>
  <si>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</si>
  <si>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</si>
  <si>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</si>
  <si>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</si>
  <si>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</si>
  <si>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</si>
  <si>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CON PROVISIÓN IGUAL A CERO</t>
  </si>
  <si>
    <t>Procesos Judiciales</t>
  </si>
  <si>
    <t>TERMINADOS ÚLTIMA ACTUACIÓN EN 2020</t>
  </si>
  <si>
    <t>ARBITRAMENTOS</t>
  </si>
  <si>
    <t>ARBITRAMENTOS ACTIVOS</t>
  </si>
  <si>
    <t>ARBITRAMENTOS REGISTRADOS EN EKOGUI</t>
  </si>
  <si>
    <t>PAGOS</t>
  </si>
  <si>
    <t>Gestiona pagos en SIIF de MinHacienda</t>
  </si>
  <si>
    <t>Pagos enlazados</t>
  </si>
  <si>
    <t>Provisión incorrecta</t>
  </si>
  <si>
    <t>JUDICIALES</t>
  </si>
  <si>
    <t>PREJUDICIALES</t>
  </si>
  <si>
    <t>Plantilla de certificado de Control Interno eKOGUI</t>
  </si>
  <si>
    <t>REGISTRO EN 2019 Y ANTERIORES</t>
  </si>
  <si>
    <t>ACTUALIZADO</t>
  </si>
  <si>
    <t>Entre 21-03-2019 y 31-12-2019</t>
  </si>
  <si>
    <t>PROCESOS SIN ABOGADO ASIGNADO(1)</t>
  </si>
  <si>
    <t>PROCESOS ACTIVOS CON ESTADO TERMINADO(3)</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</si>
  <si>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</si>
  <si>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</si>
  <si>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</si>
  <si>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</si>
  <si>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</si>
  <si>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</si>
  <si>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</si>
  <si>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</si>
  <si>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</si>
  <si>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</si>
  <si>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</si>
  <si>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</si>
  <si>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 información estudios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</si>
  <si>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</si>
  <si>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</si>
  <si>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</si>
  <si>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</si>
  <si>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</si>
  <si>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</si>
  <si>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</si>
  <si>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</si>
  <si>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</si>
  <si>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</si>
  <si>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</si>
  <si>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</si>
  <si>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</si>
  <si>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</si>
  <si>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Indique la fecha en la que genera el reporte</t>
  </si>
  <si>
    <t>Posteriores al 01-01-2020</t>
  </si>
  <si>
    <t>Fecha de diligenciamiento de plantilla</t>
  </si>
  <si>
    <t>PREJUDICIALES TERMINADOS SEGUNDO SEMESTRE 2020</t>
  </si>
  <si>
    <t>Obs1</t>
  </si>
  <si>
    <t>Obs2</t>
  </si>
  <si>
    <t>Obs3</t>
  </si>
  <si>
    <t>Obs4</t>
  </si>
  <si>
    <t>Obs5</t>
  </si>
  <si>
    <t>Obs6</t>
  </si>
  <si>
    <t>Escriba la fecha de generación del reporte</t>
  </si>
  <si>
    <t>Obs7</t>
  </si>
  <si>
    <t>Fecha reporte Usuarios</t>
  </si>
  <si>
    <t>Fecha reporte Abogados</t>
  </si>
  <si>
    <t>Fecha reporte Judiciales</t>
  </si>
  <si>
    <t>NOMBRE JEFE CONTROL INTERNO</t>
  </si>
  <si>
    <t>Abogados al 30 de junio de 2021</t>
  </si>
  <si>
    <t>ABOGADOS ACTIVOS AL 30-06-2021</t>
  </si>
  <si>
    <t>INACTIVADOS EN EKOGUI PRIMER SEMESTRE 2021</t>
  </si>
  <si>
    <t>RETIRADOS EN LA ENTIDAD PRIMER SEMESTRE 2021</t>
  </si>
  <si>
    <t>PROCESOS TERMINADOS PRIMER SEMESTRE 2021</t>
  </si>
  <si>
    <t>PROCESOS ACTIVOS AL 30 DE JUNIO DE 2021</t>
  </si>
  <si>
    <t>PROCESO TERMINADOS AL 30 DE JUNIO 2021</t>
  </si>
  <si>
    <r>
      <t>(3)En el reporte de activos al 30 de junio verifique la columna</t>
    </r>
    <r>
      <rPr>
        <b/>
        <i/>
        <sz val="9"/>
        <color theme="1"/>
        <rFont val="Calibri"/>
        <family val="2"/>
        <scheme val="minor"/>
      </rPr>
      <t xml:space="preserve"> Estado General del proceso</t>
    </r>
  </si>
  <si>
    <t>PROCESOS ACTIVOS EN CALIDAD DEMANDADO AL 30-06-2021</t>
  </si>
  <si>
    <t>PROCESOS CON CALIFICACIÓN PRIMER SEMESTRE 2021</t>
  </si>
  <si>
    <t>PROCESOS CON CALIFICACIÓN ANTERIOR A 31-12-2020</t>
  </si>
  <si>
    <t>(6) Solo se consideran los procesos activos - calidad demandado al 30 de junio de 2021 que tengan calificación de riesgo</t>
  </si>
  <si>
    <t>PREJUDICIALES ACTIVOS AL 30-06-2021</t>
  </si>
  <si>
    <t>REGISTRO POSTERIOR AL 01/01/2021</t>
  </si>
  <si>
    <t>REGISTRO ENTRE 1 DE ENERO Y 31 DE DICIEMBRE 2020</t>
  </si>
  <si>
    <t>TERMINADOS ÚLTIMA ACTUACIÓN I SEM. 2021</t>
  </si>
  <si>
    <t>TOTAL PREJUDICIALES TERMINADOS I SEM. 2021</t>
  </si>
  <si>
    <t>ARBITRAMENTOS ACTIVOS AL 30-06-2021</t>
  </si>
  <si>
    <t>TOTAL ARBITRAMENTOS TERMINADOS  AL 30-06-2021</t>
  </si>
  <si>
    <t>Pagos enlazados al 30-06-2021</t>
  </si>
  <si>
    <t>(4)Equivalente a un valor indexado de $29.981 millones</t>
  </si>
  <si>
    <t>(1) Con fecha de registro anterior al 15-06-2021</t>
  </si>
  <si>
    <t>PROCESOS TERMINADOS DURANTE PRIMER SEMESTRE 2021</t>
  </si>
  <si>
    <t>TERMINADOS EN EKOGUI DURANTE PRIMER SEMESTRE 2021 (2)</t>
  </si>
  <si>
    <t>(2) Con fecha de actuación en 2021</t>
  </si>
  <si>
    <t xml:space="preserve">Revisado en el Sistema ekogui, 27-08-2021, al solicitar la generación del Informe señala que "No se encontró información"  </t>
  </si>
  <si>
    <t>MARLON SIMON ORTEGA ORDOSGOITIA</t>
  </si>
  <si>
    <t>MELISSA TRIANA LUNA</t>
  </si>
  <si>
    <t>VICTOR MANUEL MOTTA PATIÑO</t>
  </si>
  <si>
    <t>NORMA CONSTANZA GARCIA RAMIREZ</t>
  </si>
  <si>
    <t>ANA MARIA SANTANA PUENTES</t>
  </si>
  <si>
    <t>Al revisar los correos de los abogados activos se evidenció que 4 tienen correos institucionales y los restantes son correos personales. Se estableció que aparecen en el sistema 16 abogados activos de los cuales solo 7 en la actualidad se encuentran litigando- activos según los datos aportados por entidad. La muestra revisada se tomó sobre los 16 abogados que aparecen activos en el sistema.</t>
  </si>
  <si>
    <t>la información del cuadro de condenas no se diligencia porque no hay muestra.</t>
  </si>
  <si>
    <t>INSTITUTO NACIONAL DE VIGILANCIA DE MEDICAMENTOS Y ALIMENTOS</t>
  </si>
  <si>
    <t xml:space="preserve">Aparece como Jefe Jurídico la doctora MELISSA TRIANA LUNA, y en laactualidad se desempeña como Jefe de la Ofician Asesora Jurídica la doctora ANA MARIA SANTANA PUENTES.  Así mismo, no se encuentra diligenciado en el sistema el rol del Secretario Técnico.   </t>
  </si>
  <si>
    <t xml:space="preserve">1. 60259461 PORTILLA MARTINEZ MAGHDIEL CECILIA AUN NO SE HA CERRADO EN EKOGUI PORQUE NO SE HA LLEVADO A CABO LA AUDIENCIA Y NO HA LLEGADO CITACIÓN A AUDIENCIA POR PARTE DE PROCURADURIA. 2. 3674541 MUÑOZ GONZÁLEZ MANUEL ALFONSO AÚN NO SE HA CERRADO EN EKOGUI PORQUE NO SE HA LLEVADO A CABO LA AUDIENCIA, NO HA LLEGADO CITACIÓN A AUDIENCIA POR PARTE DE PROCURADURÍA. NI  SE HA LLEVADO A COMITÉ DE CONCILIACIÓN 3. 900297925   BIOCARE SAS ASIGNADA, EL 19 DE AGOSTO: HASTA LA FECHA NO SE HA LLEVADO A COMITÉ, Y LA PROCURADURÍA NO HA FIJADO FECHA PARA AUDIENCIA DE CONCILIACIÓN PREJUDICIAL, ASI MISMO FRENTE A LA ABOGADA ANA LUCIA VITATA SE SOLICITO PARA QUE  LE PUEDAN ENTREGAR PROCESOS POR EKOGUI Y AUN NO SE HA OBTENIDO RESPUESTA. 4. 41887811 TRUJILLO SOL ISABEL  REPOSA  RADICADA AL INVIMA EL DÍA 24 DE AGOSTO DE 2021 EL MEDIO DE CONTROL, ESTA  SOLICITUD DE CONCILIACIÓN COMO TAL NO HA SIDO RADICADA.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</si>
</sst>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theme="3"/>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22">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9" fontId="0" fillId="0" borderId="9" xfId="1" applyFont="1" applyBorder="1"/>
    <xf numFmtId="0" fontId="6" fillId="0" borderId="0" xfId="0" applyFont="1"/>
    <xf numFmtId="0" fontId="6" fillId="0" borderId="5" xfId="0" applyFont="1" applyBorder="1"/>
    <xf numFmtId="14" fontId="0" fillId="2" borderId="0" xfId="0" applyNumberFormat="1" applyFill="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11" xfId="0" applyFill="1" applyBorder="1" applyProtection="1">
      <protection hidden="1"/>
    </xf>
    <xf numFmtId="0" fontId="0" fillId="2" borderId="9" xfId="0" applyFill="1" applyBorder="1" applyProtection="1">
      <protection locked="0"/>
    </xf>
    <xf numFmtId="0" fontId="0" fillId="2" borderId="12" xfId="0" applyFill="1" applyBorder="1" applyProtection="1">
      <protection locked="0"/>
    </xf>
    <xf numFmtId="14" fontId="0" fillId="2" borderId="12" xfId="0" applyNumberFormat="1" applyFill="1" applyBorder="1" applyProtection="1">
      <protection locked="0"/>
    </xf>
    <xf numFmtId="14" fontId="0" fillId="2" borderId="9" xfId="0" applyNumberFormat="1" applyFill="1" applyBorder="1" applyProtection="1">
      <protection locked="0"/>
    </xf>
    <xf numFmtId="0" fontId="0" fillId="2" borderId="0" xfId="0" applyFill="1" applyProtection="1">
      <protection locked="0"/>
    </xf>
    <xf numFmtId="0" fontId="0" fillId="0" borderId="9" xfId="0" applyBorder="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9" xfId="0" applyFill="1" applyBorder="1" applyAlignment="1" applyProtection="1">
      <alignment vertical="center"/>
      <protection locked="0"/>
    </xf>
    <xf numFmtId="0" fontId="0" fillId="2" borderId="0" xfId="0" applyFill="1" applyAlignment="1">
      <alignment wrapText="1"/>
    </xf>
    <xf numFmtId="0" fontId="0" fillId="0" borderId="9" xfId="0" applyBorder="1" applyAlignment="1">
      <alignment horizontal="center"/>
    </xf>
    <xf numFmtId="0" fontId="0" fillId="2" borderId="22" xfId="0" applyFill="1" applyBorder="1" applyAlignment="1">
      <alignment horizontal="center" vertical="center"/>
    </xf>
    <xf numFmtId="0" fontId="0" fillId="2" borderId="28" xfId="0" applyFill="1" applyBorder="1"/>
    <xf numFmtId="0" fontId="0" fillId="2" borderId="28" xfId="0" applyFill="1" applyBorder="1" applyProtection="1">
      <protection locked="0"/>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0" fillId="2" borderId="27" xfId="0" applyNumberFormat="1" applyFill="1" applyBorder="1" applyProtection="1">
      <protection locked="0"/>
    </xf>
    <xf numFmtId="14" fontId="5" fillId="2" borderId="5" xfId="0" applyNumberFormat="1" applyFont="1" applyFill="1" applyBorder="1"/>
    <xf numFmtId="14" fontId="0" fillId="0" borderId="0" xfId="0" applyNumberFormat="1"/>
    <xf numFmtId="0" fontId="0" fillId="2" borderId="13" xfId="0" applyFill="1" applyBorder="1" applyAlignment="1" applyProtection="1">
      <alignment wrapText="1"/>
      <protection hidden="1"/>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2" borderId="23"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lignment horizontal="center"/>
    </xf>
    <xf numFmtId="0" fontId="0" fillId="2" borderId="26" xfId="0" applyFill="1" applyBorder="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2" borderId="1"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9" fillId="2" borderId="0" xfId="0" applyFont="1" applyFill="1" applyAlignment="1">
      <alignment horizontal="center" vertical="center"/>
    </xf>
    <xf numFmtId="0" fontId="0" fillId="2" borderId="21" xfId="0" applyFill="1" applyBorder="1" applyAlignment="1">
      <alignment horizontal="left" wrapText="1"/>
    </xf>
    <xf numFmtId="0" fontId="0" fillId="0" borderId="0" xfId="0" applyAlignment="1">
      <alignment horizontal="center"/>
    </xf>
    <xf numFmtId="0" fontId="0" fillId="0" borderId="1"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4" fillId="2" borderId="2" xfId="0" applyFont="1" applyFill="1" applyBorder="1" applyAlignment="1" applyProtection="1">
      <alignment horizontal="left" vertical="top" wrapText="1"/>
      <protection locked="0"/>
    </xf>
    <xf numFmtId="0" fontId="4" fillId="2" borderId="3"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4" fillId="2" borderId="6" xfId="0" applyFont="1" applyFill="1" applyBorder="1" applyAlignment="1" applyProtection="1">
      <alignment horizontal="left" vertical="top" wrapText="1"/>
      <protection locked="0"/>
    </xf>
    <xf numFmtId="0" fontId="4" fillId="2" borderId="7" xfId="0" applyFont="1" applyFill="1" applyBorder="1" applyAlignment="1" applyProtection="1">
      <alignment horizontal="left" vertical="top" wrapText="1"/>
      <protection locked="0"/>
    </xf>
    <xf numFmtId="0" fontId="4" fillId="2" borderId="8" xfId="0" applyFont="1" applyFill="1" applyBorder="1" applyAlignment="1" applyProtection="1">
      <alignment horizontal="left" vertical="top" wrapText="1"/>
      <protection locked="0"/>
    </xf>
    <xf numFmtId="0" fontId="0" fillId="0" borderId="20" xfId="0" applyBorder="1" applyAlignment="1" applyProtection="1">
      <alignment horizontal="center"/>
      <protection locked="0"/>
    </xf>
    <xf numFmtId="0" fontId="6" fillId="0" borderId="0" xfId="0" applyFont="1" applyAlignment="1">
      <alignment horizontal="center"/>
    </xf>
    <xf numFmtId="0" fontId="0" fillId="0" borderId="0" xfId="0" applyAlignment="1" applyProtection="1">
      <alignment horizontal="left" vertical="top" wrapText="1"/>
      <protection locked="0"/>
    </xf>
    <xf numFmtId="0" fontId="0" fillId="0" borderId="7" xfId="0" applyBorder="1" applyAlignment="1" applyProtection="1">
      <alignment horizontal="left" vertical="top" wrapText="1"/>
      <protection locked="0"/>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O18"/>
  <sheetViews>
    <sheetView showGridLines="0" topLeftCell="C1" workbookViewId="0">
      <selection activeCell="B17" sqref="B17"/>
    </sheetView>
  </sheetViews>
  <sheetFormatPr baseColWidth="10" defaultRowHeight="15" x14ac:dyDescent="0.25"/>
  <sheetData>
    <row r="1" spans="2:15" ht="15.75" thickBot="1" x14ac:dyDescent="0.3"/>
    <row r="2" spans="2:15" x14ac:dyDescent="0.25">
      <c r="B2" s="2"/>
      <c r="C2" s="3"/>
      <c r="D2" s="3"/>
      <c r="E2" s="3"/>
      <c r="F2" s="3"/>
      <c r="G2" s="3"/>
      <c r="H2" s="3"/>
      <c r="I2" s="3"/>
      <c r="J2" s="3"/>
      <c r="K2" s="3"/>
      <c r="L2" s="3"/>
      <c r="M2" s="3"/>
      <c r="N2" s="3"/>
      <c r="O2" s="4"/>
    </row>
    <row r="3" spans="2:15" ht="23.25" x14ac:dyDescent="0.35">
      <c r="B3" s="73" t="s">
        <v>85</v>
      </c>
      <c r="C3" s="74"/>
      <c r="D3" s="74"/>
      <c r="E3" s="74"/>
      <c r="F3" s="74"/>
      <c r="G3" s="74"/>
      <c r="H3" s="74"/>
      <c r="I3" s="74"/>
      <c r="J3" s="74"/>
      <c r="K3" s="74"/>
      <c r="L3" s="74"/>
      <c r="M3" s="74"/>
      <c r="N3" s="74"/>
      <c r="O3" s="75"/>
    </row>
    <row r="4" spans="2:15" ht="23.25" x14ac:dyDescent="0.35">
      <c r="B4" s="73" t="s">
        <v>11</v>
      </c>
      <c r="C4" s="74"/>
      <c r="D4" s="74"/>
      <c r="E4" s="74"/>
      <c r="F4" s="74"/>
      <c r="G4" s="74"/>
      <c r="H4" s="74"/>
      <c r="I4" s="74"/>
      <c r="J4" s="74"/>
      <c r="K4" s="74"/>
      <c r="L4" s="74"/>
      <c r="M4" s="74"/>
      <c r="N4" s="74"/>
      <c r="O4" s="75"/>
    </row>
    <row r="5" spans="2:15" x14ac:dyDescent="0.25">
      <c r="B5" s="5"/>
      <c r="O5" s="6"/>
    </row>
    <row r="6" spans="2:15" x14ac:dyDescent="0.25">
      <c r="B6" s="5"/>
      <c r="C6" s="76" t="s">
        <v>99</v>
      </c>
      <c r="D6" s="76"/>
      <c r="E6" s="76"/>
      <c r="F6" s="76"/>
      <c r="G6" s="76"/>
      <c r="H6" s="76"/>
      <c r="I6" s="76"/>
      <c r="J6" s="76"/>
      <c r="K6" s="76"/>
      <c r="L6" s="76"/>
      <c r="M6" s="76"/>
      <c r="N6" s="76"/>
      <c r="O6" s="6"/>
    </row>
    <row r="7" spans="2:15" x14ac:dyDescent="0.25">
      <c r="B7" s="5"/>
      <c r="C7" s="76"/>
      <c r="D7" s="76"/>
      <c r="E7" s="76"/>
      <c r="F7" s="76"/>
      <c r="G7" s="76"/>
      <c r="H7" s="76"/>
      <c r="I7" s="76"/>
      <c r="J7" s="76"/>
      <c r="K7" s="76"/>
      <c r="L7" s="76"/>
      <c r="M7" s="76"/>
      <c r="N7" s="76"/>
      <c r="O7" s="6"/>
    </row>
    <row r="8" spans="2:15" x14ac:dyDescent="0.25">
      <c r="B8" s="5"/>
      <c r="O8" s="6"/>
    </row>
    <row r="9" spans="2:15" x14ac:dyDescent="0.25">
      <c r="B9" s="5"/>
      <c r="O9" s="6"/>
    </row>
    <row r="10" spans="2:15" x14ac:dyDescent="0.25">
      <c r="B10" s="5"/>
      <c r="O10" s="6"/>
    </row>
    <row r="11" spans="2:15" x14ac:dyDescent="0.25">
      <c r="B11" s="5"/>
      <c r="O11" s="6"/>
    </row>
    <row r="12" spans="2:15" x14ac:dyDescent="0.25">
      <c r="B12" s="5"/>
      <c r="O12" s="6"/>
    </row>
    <row r="13" spans="2:15" x14ac:dyDescent="0.25">
      <c r="B13" s="5"/>
      <c r="O13" s="6"/>
    </row>
    <row r="14" spans="2:15" x14ac:dyDescent="0.25">
      <c r="B14" s="5"/>
      <c r="O14" s="6"/>
    </row>
    <row r="15" spans="2:15" x14ac:dyDescent="0.25">
      <c r="B15" s="5"/>
      <c r="O15" s="6"/>
    </row>
    <row r="16" spans="2:15" x14ac:dyDescent="0.25">
      <c r="B16" s="5"/>
      <c r="O16" s="6"/>
    </row>
    <row r="17" spans="2:15" x14ac:dyDescent="0.25">
      <c r="B17" s="5"/>
      <c r="O17" s="6"/>
    </row>
    <row r="18" spans="2:15" ht="15.75" thickBot="1" x14ac:dyDescent="0.3">
      <c r="B18" s="7"/>
      <c r="C18" s="8"/>
      <c r="D18" s="8"/>
      <c r="E18" s="8"/>
      <c r="F18" s="8"/>
      <c r="G18" s="8"/>
      <c r="H18" s="8"/>
      <c r="I18" s="8"/>
      <c r="J18" s="8"/>
      <c r="K18" s="8"/>
      <c r="L18" s="8"/>
      <c r="M18" s="8"/>
      <c r="N18" s="8"/>
      <c r="O18" s="9"/>
    </row>
  </sheetData>
  <sheetProtection algorithmName="SHA-512" hashValue="v+OGTlq+q6Oae72VDN+sgjj2bIwwaNs7K3QlBBMEg8LflToLDQY2HVkS7v5GxJ3ePdMJEq1YOdX8GVr8ULdAAw==" saltValue="VUPC38ch+z74Wo07QKnkBQ==" spinCount="100000" sheet="1" objects="1" scenarios="1"/>
  <mergeCells count="3">
    <mergeCell ref="B3:O3"/>
    <mergeCell ref="B4:O4"/>
    <mergeCell ref="C6:N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19"/>
  <sheetViews>
    <sheetView topLeftCell="A10" workbookViewId="0">
      <selection activeCell="F12" sqref="F12"/>
    </sheetView>
  </sheetViews>
  <sheetFormatPr baseColWidth="10" defaultColWidth="11.42578125"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6"/>
    <col min="10" max="10" width="11.85546875" style="36" bestFit="1" customWidth="1"/>
    <col min="11" max="16384" width="11.42578125" style="1"/>
  </cols>
  <sheetData>
    <row r="5" spans="2:20" ht="15.75" thickBot="1" x14ac:dyDescent="0.3"/>
    <row r="6" spans="2:20" x14ac:dyDescent="0.25">
      <c r="B6" s="10"/>
      <c r="C6" s="11"/>
      <c r="D6" s="11"/>
      <c r="E6" s="11"/>
      <c r="F6" s="11"/>
      <c r="G6" s="12"/>
    </row>
    <row r="7" spans="2:20" ht="21" x14ac:dyDescent="0.35">
      <c r="B7" s="77" t="s">
        <v>117</v>
      </c>
      <c r="C7" s="78"/>
      <c r="D7" s="78"/>
      <c r="E7" s="78"/>
      <c r="F7" s="78"/>
      <c r="G7" s="79"/>
      <c r="T7" s="1" t="s">
        <v>12</v>
      </c>
    </row>
    <row r="8" spans="2:20" ht="15.75" thickBot="1" x14ac:dyDescent="0.3">
      <c r="B8" s="13"/>
      <c r="G8" s="14"/>
      <c r="T8" s="1" t="s">
        <v>13</v>
      </c>
    </row>
    <row r="9" spans="2:20" ht="15.75" thickBot="1" x14ac:dyDescent="0.3">
      <c r="B9" s="82" t="s">
        <v>128</v>
      </c>
      <c r="C9" s="83"/>
      <c r="D9" s="69">
        <v>44435</v>
      </c>
      <c r="G9" s="14"/>
      <c r="T9" s="1" t="s">
        <v>14</v>
      </c>
    </row>
    <row r="10" spans="2:20" x14ac:dyDescent="0.25">
      <c r="B10" s="13"/>
      <c r="G10" s="70">
        <v>43545</v>
      </c>
    </row>
    <row r="11" spans="2:20" x14ac:dyDescent="0.25">
      <c r="B11" s="20" t="s">
        <v>15</v>
      </c>
      <c r="C11" s="21" t="s">
        <v>16</v>
      </c>
      <c r="D11" s="22" t="s">
        <v>6</v>
      </c>
      <c r="E11" s="21" t="s">
        <v>7</v>
      </c>
      <c r="F11" s="21" t="s">
        <v>17</v>
      </c>
      <c r="G11" s="23" t="s">
        <v>87</v>
      </c>
    </row>
    <row r="12" spans="2:20" x14ac:dyDescent="0.25">
      <c r="B12" s="19" t="s">
        <v>0</v>
      </c>
      <c r="C12" s="49" t="s">
        <v>12</v>
      </c>
      <c r="D12" s="52">
        <v>43720</v>
      </c>
      <c r="E12" s="50" t="s">
        <v>160</v>
      </c>
      <c r="F12" s="51">
        <v>43720</v>
      </c>
      <c r="G12" s="48" t="str">
        <f>+IF(C12="SI",IF(F12&lt;$G$10,"DESACTUALIZADO",""),"")</f>
        <v/>
      </c>
      <c r="H12" s="36">
        <f t="shared" ref="H12:H17" si="0">+IF(C12="N/A",1,0)</f>
        <v>0</v>
      </c>
      <c r="I12" s="36">
        <f t="shared" ref="I12:I17" si="1">+IF(C12="Si",1,0)</f>
        <v>1</v>
      </c>
      <c r="J12" s="36">
        <f t="shared" ref="J12:J17" si="2">+IF(C12="No",1,0)</f>
        <v>0</v>
      </c>
    </row>
    <row r="13" spans="2:20" x14ac:dyDescent="0.25">
      <c r="B13" s="19" t="s">
        <v>1</v>
      </c>
      <c r="C13" s="49" t="s">
        <v>12</v>
      </c>
      <c r="D13" s="52">
        <v>43717</v>
      </c>
      <c r="E13" s="50" t="s">
        <v>161</v>
      </c>
      <c r="F13" s="51"/>
      <c r="G13" s="48" t="str">
        <f t="shared" ref="G13:G17" si="3">+IF(C13="SI",IF(F13&lt;$G$10,"DESACTUALIZADO",""),"")</f>
        <v>DESACTUALIZADO</v>
      </c>
      <c r="H13" s="36">
        <f t="shared" si="0"/>
        <v>0</v>
      </c>
      <c r="I13" s="36">
        <f t="shared" si="1"/>
        <v>1</v>
      </c>
      <c r="J13" s="36">
        <f t="shared" si="2"/>
        <v>0</v>
      </c>
    </row>
    <row r="14" spans="2:20" x14ac:dyDescent="0.25">
      <c r="B14" s="19" t="s">
        <v>2</v>
      </c>
      <c r="C14" s="49" t="s">
        <v>12</v>
      </c>
      <c r="D14" s="52">
        <v>43720</v>
      </c>
      <c r="E14" s="50" t="s">
        <v>162</v>
      </c>
      <c r="F14" s="51">
        <v>43720</v>
      </c>
      <c r="G14" s="48" t="str">
        <f t="shared" si="3"/>
        <v/>
      </c>
      <c r="H14" s="36">
        <f t="shared" si="0"/>
        <v>0</v>
      </c>
      <c r="I14" s="36">
        <f t="shared" si="1"/>
        <v>1</v>
      </c>
      <c r="J14" s="36">
        <f t="shared" si="2"/>
        <v>0</v>
      </c>
      <c r="T14" s="42">
        <v>43545</v>
      </c>
    </row>
    <row r="15" spans="2:20" x14ac:dyDescent="0.25">
      <c r="B15" s="19" t="s">
        <v>3</v>
      </c>
      <c r="C15" s="49" t="s">
        <v>12</v>
      </c>
      <c r="D15" s="52">
        <v>42198</v>
      </c>
      <c r="E15" s="50" t="s">
        <v>163</v>
      </c>
      <c r="F15" s="51">
        <v>44243</v>
      </c>
      <c r="G15" s="48" t="str">
        <f t="shared" si="3"/>
        <v/>
      </c>
      <c r="H15" s="36">
        <f t="shared" si="0"/>
        <v>0</v>
      </c>
      <c r="I15" s="36">
        <f t="shared" si="1"/>
        <v>1</v>
      </c>
      <c r="J15" s="36">
        <f t="shared" si="2"/>
        <v>0</v>
      </c>
    </row>
    <row r="16" spans="2:20" x14ac:dyDescent="0.25">
      <c r="B16" s="19" t="s">
        <v>4</v>
      </c>
      <c r="C16" s="49" t="s">
        <v>13</v>
      </c>
      <c r="D16" s="52"/>
      <c r="E16" s="50"/>
      <c r="F16" s="51"/>
      <c r="G16" s="48" t="str">
        <f t="shared" si="3"/>
        <v/>
      </c>
      <c r="H16" s="36">
        <f t="shared" si="0"/>
        <v>0</v>
      </c>
      <c r="I16" s="36">
        <f t="shared" si="1"/>
        <v>0</v>
      </c>
      <c r="J16" s="36">
        <f t="shared" si="2"/>
        <v>1</v>
      </c>
    </row>
    <row r="17" spans="2:10" x14ac:dyDescent="0.25">
      <c r="B17" s="19" t="s">
        <v>5</v>
      </c>
      <c r="C17" s="49" t="s">
        <v>12</v>
      </c>
      <c r="D17" s="52">
        <v>43884</v>
      </c>
      <c r="E17" s="50" t="s">
        <v>164</v>
      </c>
      <c r="F17" s="51">
        <v>43884</v>
      </c>
      <c r="G17" s="48" t="str">
        <f t="shared" si="3"/>
        <v/>
      </c>
      <c r="H17" s="36">
        <f t="shared" si="0"/>
        <v>0</v>
      </c>
      <c r="I17" s="36">
        <f t="shared" si="1"/>
        <v>1</v>
      </c>
      <c r="J17" s="36">
        <f t="shared" si="2"/>
        <v>0</v>
      </c>
    </row>
    <row r="18" spans="2:10" x14ac:dyDescent="0.25">
      <c r="B18" s="13"/>
      <c r="G18" s="14"/>
    </row>
    <row r="19" spans="2:10" ht="94.5" customHeight="1" thickBot="1" x14ac:dyDescent="0.3">
      <c r="B19" s="62" t="s">
        <v>102</v>
      </c>
      <c r="C19" s="80" t="s">
        <v>168</v>
      </c>
      <c r="D19" s="80"/>
      <c r="E19" s="80"/>
      <c r="F19" s="80"/>
      <c r="G19" s="81"/>
    </row>
  </sheetData>
  <sheetProtection algorithmName="SHA-512" hashValue="678u2HcNEL4JGQ7xicFOz0k/sSoNaoiSp508kdxKxvQ4eapnU6CIE2xIBkOiWu553Z3j5D2BJ48a0s2IoPgf1g==" saltValue="i8uwVTOFvUGJfKZ99Y2WrA==" spinCount="100000" sheet="1" objects="1" scenarios="1"/>
  <mergeCells count="3">
    <mergeCell ref="B7:G7"/>
    <mergeCell ref="C19:G19"/>
    <mergeCell ref="B9:C9"/>
  </mergeCells>
  <dataValidations count="3">
    <dataValidation type="list" allowBlank="1" showInputMessage="1" showErrorMessage="1" sqref="C12:C17" xr:uid="{00000000-0002-0000-0100-000000000000}">
      <formula1>$T$7:$T$9</formula1>
    </dataValidation>
    <dataValidation type="date" allowBlank="1" showInputMessage="1" showErrorMessage="1" sqref="D9" xr:uid="{00000000-0002-0000-0100-000001000000}">
      <formula1>44378</formula1>
      <formula2>44439</formula2>
    </dataValidation>
    <dataValidation type="date" allowBlank="1" showInputMessage="1" showErrorMessage="1" sqref="D12:D17 F12:F17" xr:uid="{00000000-0002-0000-0100-000002000000}">
      <formula1>40544</formula1>
      <formula2>44439</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V25"/>
  <sheetViews>
    <sheetView showGridLines="0" topLeftCell="A13" workbookViewId="0">
      <selection activeCell="C26" sqref="C26"/>
    </sheetView>
  </sheetViews>
  <sheetFormatPr baseColWidth="10" defaultColWidth="11.42578125" defaultRowHeight="15" x14ac:dyDescent="0.25"/>
  <cols>
    <col min="1" max="1" width="3.85546875" style="1" customWidth="1"/>
    <col min="2" max="2" width="11.42578125" style="1"/>
    <col min="3" max="3" width="48.140625" style="1" bestFit="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+IF(D12&lt;=10,D12,IF(ROUNDDOWN(D12*10%,0)&lt;10,10,ROUNDDOWN(D12*10%,0)))</f>
        <v>10</v>
      </c>
    </row>
    <row r="4" spans="2:22" x14ac:dyDescent="0.25">
      <c r="B4" s="13"/>
      <c r="H4" s="14"/>
    </row>
    <row r="5" spans="2:22" x14ac:dyDescent="0.25">
      <c r="B5" s="13"/>
      <c r="H5" s="14"/>
    </row>
    <row r="6" spans="2:22" ht="15" customHeight="1" x14ac:dyDescent="0.25">
      <c r="B6" s="13"/>
      <c r="G6" s="26"/>
      <c r="H6" s="27"/>
    </row>
    <row r="7" spans="2:22" ht="17.25" customHeight="1" x14ac:dyDescent="0.35">
      <c r="B7" s="13"/>
      <c r="C7" s="18" t="s">
        <v>118</v>
      </c>
      <c r="D7" s="52">
        <v>44435</v>
      </c>
      <c r="E7" s="24"/>
      <c r="F7" s="84" t="str">
        <f>"Seleccione una muestra de "&amp;V3&amp;" abogados activos y complete la siguiente tabla"</f>
        <v>Seleccione una muestra de 10 abogados activos y complete la siguiente tabla</v>
      </c>
      <c r="G7" s="85"/>
      <c r="H7" s="27"/>
    </row>
    <row r="8" spans="2:22" x14ac:dyDescent="0.25">
      <c r="B8" s="13"/>
      <c r="F8" s="86"/>
      <c r="G8" s="87"/>
      <c r="H8" s="14"/>
      <c r="T8" s="1" t="s">
        <v>13</v>
      </c>
    </row>
    <row r="9" spans="2:22" ht="23.25" x14ac:dyDescent="0.25">
      <c r="B9" s="13"/>
      <c r="C9" s="28" t="s">
        <v>134</v>
      </c>
      <c r="E9"/>
      <c r="F9" s="22" t="s">
        <v>106</v>
      </c>
      <c r="G9" s="22" t="s">
        <v>19</v>
      </c>
      <c r="H9" s="14"/>
      <c r="T9" s="1" t="s">
        <v>14</v>
      </c>
    </row>
    <row r="10" spans="2:22" x14ac:dyDescent="0.25">
      <c r="B10" s="13"/>
      <c r="C10" s="21" t="s">
        <v>135</v>
      </c>
      <c r="D10" s="21" t="s">
        <v>23</v>
      </c>
      <c r="E10"/>
      <c r="F10" s="18" t="s">
        <v>103</v>
      </c>
      <c r="G10" s="49">
        <v>9</v>
      </c>
      <c r="H10" s="14"/>
    </row>
    <row r="11" spans="2:22" x14ac:dyDescent="0.25">
      <c r="B11" s="13"/>
      <c r="C11" s="18" t="s">
        <v>21</v>
      </c>
      <c r="D11" s="49">
        <v>7</v>
      </c>
      <c r="E11"/>
      <c r="F11" s="18" t="s">
        <v>104</v>
      </c>
      <c r="G11" s="49">
        <v>9</v>
      </c>
      <c r="H11" s="14"/>
    </row>
    <row r="12" spans="2:22" x14ac:dyDescent="0.25">
      <c r="B12" s="13"/>
      <c r="C12" s="18" t="s">
        <v>22</v>
      </c>
      <c r="D12" s="49">
        <v>16</v>
      </c>
      <c r="E12"/>
      <c r="F12" s="18" t="s">
        <v>105</v>
      </c>
      <c r="G12" s="49">
        <v>9</v>
      </c>
      <c r="H12" s="14"/>
    </row>
    <row r="13" spans="2:22" x14ac:dyDescent="0.25">
      <c r="B13" s="13"/>
      <c r="C13" s="18" t="s">
        <v>26</v>
      </c>
      <c r="D13" s="49">
        <v>4</v>
      </c>
      <c r="E13"/>
      <c r="F13" s="45" t="s">
        <v>111</v>
      </c>
      <c r="G13" s="44"/>
      <c r="H13" s="14"/>
    </row>
    <row r="14" spans="2:22" x14ac:dyDescent="0.25">
      <c r="B14" s="13"/>
      <c r="C14" s="18" t="s">
        <v>20</v>
      </c>
      <c r="D14" s="49">
        <v>9</v>
      </c>
      <c r="E14"/>
      <c r="F14" s="46" t="s">
        <v>112</v>
      </c>
      <c r="G14" s="47"/>
      <c r="H14" s="14"/>
    </row>
    <row r="15" spans="2:22" x14ac:dyDescent="0.25">
      <c r="B15" s="13"/>
      <c r="E15"/>
      <c r="H15" s="14"/>
    </row>
    <row r="16" spans="2:22" x14ac:dyDescent="0.25">
      <c r="B16" s="13"/>
      <c r="C16" s="21" t="s">
        <v>24</v>
      </c>
      <c r="D16" s="21" t="s">
        <v>23</v>
      </c>
      <c r="E16"/>
      <c r="F16" s="22" t="s">
        <v>115</v>
      </c>
      <c r="G16" s="22" t="s">
        <v>19</v>
      </c>
      <c r="H16" s="14"/>
    </row>
    <row r="17" spans="2:8" x14ac:dyDescent="0.25">
      <c r="B17" s="13"/>
      <c r="C17" s="18" t="s">
        <v>137</v>
      </c>
      <c r="D17" s="49">
        <v>1</v>
      </c>
      <c r="E17"/>
      <c r="F17" s="18" t="s">
        <v>119</v>
      </c>
      <c r="G17" s="49">
        <v>7</v>
      </c>
      <c r="H17" s="14"/>
    </row>
    <row r="18" spans="2:8" x14ac:dyDescent="0.25">
      <c r="B18" s="13"/>
      <c r="C18" s="18" t="s">
        <v>136</v>
      </c>
      <c r="D18" s="49">
        <v>0</v>
      </c>
      <c r="E18"/>
      <c r="F18" s="37" t="s">
        <v>88</v>
      </c>
      <c r="G18" s="49">
        <v>2</v>
      </c>
      <c r="H18" s="14"/>
    </row>
    <row r="19" spans="2:8" x14ac:dyDescent="0.25">
      <c r="B19" s="13"/>
      <c r="C19" s="56"/>
      <c r="E19"/>
      <c r="F19" s="18" t="s">
        <v>108</v>
      </c>
      <c r="G19" s="49">
        <v>0</v>
      </c>
      <c r="H19" s="14"/>
    </row>
    <row r="20" spans="2:8" ht="15.75" thickBot="1" x14ac:dyDescent="0.3">
      <c r="B20" s="13"/>
      <c r="C20" s="56" t="s">
        <v>107</v>
      </c>
      <c r="D20" s="53"/>
      <c r="E20"/>
      <c r="F20" s="63" t="s">
        <v>25</v>
      </c>
      <c r="G20" s="64">
        <v>7</v>
      </c>
      <c r="H20" s="14"/>
    </row>
    <row r="21" spans="2:8" x14ac:dyDescent="0.25">
      <c r="B21" s="13"/>
      <c r="C21" s="88" t="s">
        <v>165</v>
      </c>
      <c r="D21" s="89"/>
      <c r="E21" s="89"/>
      <c r="F21" s="89"/>
      <c r="G21" s="90"/>
      <c r="H21" s="14"/>
    </row>
    <row r="22" spans="2:8" x14ac:dyDescent="0.25">
      <c r="B22" s="13"/>
      <c r="C22" s="91"/>
      <c r="D22" s="92"/>
      <c r="E22" s="92"/>
      <c r="F22" s="92"/>
      <c r="G22" s="93"/>
      <c r="H22" s="14"/>
    </row>
    <row r="23" spans="2:8" x14ac:dyDescent="0.25">
      <c r="B23" s="13"/>
      <c r="C23" s="91"/>
      <c r="D23" s="92"/>
      <c r="E23" s="92"/>
      <c r="F23" s="92"/>
      <c r="G23" s="93"/>
      <c r="H23" s="14"/>
    </row>
    <row r="24" spans="2:8" ht="15.75" thickBot="1" x14ac:dyDescent="0.3">
      <c r="B24" s="13"/>
      <c r="C24" s="94"/>
      <c r="D24" s="95"/>
      <c r="E24" s="95"/>
      <c r="F24" s="95"/>
      <c r="G24" s="96"/>
      <c r="H24" s="14"/>
    </row>
    <row r="25" spans="2:8" ht="15.75" thickBot="1" x14ac:dyDescent="0.3">
      <c r="B25" s="15"/>
      <c r="C25" s="16"/>
      <c r="D25" s="16"/>
      <c r="E25" s="16"/>
      <c r="F25" s="16"/>
      <c r="G25" s="16"/>
      <c r="H25" s="17"/>
    </row>
  </sheetData>
  <sheetProtection algorithmName="SHA-512" hashValue="rb/3VNYOaOrNAKfVd2Bu97DAaTMB+8ludFMeJSLRVTY3sRYluz0fBeQimwuoyy+y566A+D8mXHiEMGfHIWwLyA==" saltValue="23gwLC8xRSDKhOIJw8RYyg==" spinCount="100000" sheet="1"/>
  <mergeCells count="2">
    <mergeCell ref="F7:G8"/>
    <mergeCell ref="C21:G24"/>
  </mergeCells>
  <dataValidations count="1">
    <dataValidation type="date" allowBlank="1" showInputMessage="1" showErrorMessage="1" sqref="D7" xr:uid="{00000000-0002-0000-0200-000000000000}">
      <formula1>44378</formula1>
      <formula2>44439</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4"/>
  <sheetViews>
    <sheetView showGridLines="0" topLeftCell="B15" zoomScale="98" zoomScaleNormal="98" workbookViewId="0">
      <selection activeCell="F28" sqref="F28:H33"/>
    </sheetView>
  </sheetViews>
  <sheetFormatPr baseColWidth="10" defaultColWidth="11.42578125" defaultRowHeight="15" x14ac:dyDescent="0.25"/>
  <cols>
    <col min="1" max="1" width="3.85546875" style="1" customWidth="1"/>
    <col min="2" max="2" width="11.42578125" style="1"/>
    <col min="3" max="3" width="56.42578125" style="1" bestFit="1" customWidth="1"/>
    <col min="4" max="4" width="15.28515625" style="1" customWidth="1"/>
    <col min="5" max="5" width="6.28515625" style="1" customWidth="1"/>
    <col min="6" max="6" width="55.85546875" style="1" bestFit="1" customWidth="1"/>
    <col min="7" max="7" width="11.28515625" style="1" customWidth="1"/>
    <col min="8" max="8" width="15.28515625" style="1" customWidth="1"/>
    <col min="9" max="9" width="7.28515625" style="1" customWidth="1"/>
    <col min="10"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5">
        <f>+IF(D17&lt;=10,D17,IF(ROUNDDOWN(D17*10%,0)&lt;10,10,ROUNDDOWN(D17*10%,0)))</f>
        <v>0</v>
      </c>
    </row>
    <row r="4" spans="2:23" x14ac:dyDescent="0.25">
      <c r="B4" s="13"/>
      <c r="I4" s="14"/>
    </row>
    <row r="5" spans="2:23" ht="9" customHeight="1" x14ac:dyDescent="0.25">
      <c r="B5" s="13"/>
      <c r="I5" s="14"/>
    </row>
    <row r="6" spans="2:23" ht="19.5" customHeight="1" x14ac:dyDescent="0.25">
      <c r="B6" s="13"/>
      <c r="C6" s="100" t="s">
        <v>74</v>
      </c>
      <c r="D6" s="100"/>
      <c r="E6" s="100"/>
      <c r="F6" s="100"/>
      <c r="G6" s="100"/>
      <c r="H6" s="100"/>
      <c r="I6" s="27"/>
    </row>
    <row r="7" spans="2:23" x14ac:dyDescent="0.25">
      <c r="B7" s="13"/>
      <c r="I7" s="14"/>
      <c r="U7" s="1" t="s">
        <v>13</v>
      </c>
    </row>
    <row r="8" spans="2:23" x14ac:dyDescent="0.25">
      <c r="B8" s="13"/>
      <c r="C8" s="21" t="s">
        <v>120</v>
      </c>
      <c r="D8" s="52">
        <v>44435</v>
      </c>
      <c r="E8"/>
      <c r="F8" s="31" t="s">
        <v>114</v>
      </c>
      <c r="G8" s="31" t="s">
        <v>18</v>
      </c>
      <c r="I8" s="14"/>
      <c r="U8" s="1" t="s">
        <v>14</v>
      </c>
    </row>
    <row r="9" spans="2:23" x14ac:dyDescent="0.25">
      <c r="B9" s="13"/>
      <c r="E9"/>
      <c r="F9" s="18" t="s">
        <v>27</v>
      </c>
      <c r="G9" s="49">
        <v>0</v>
      </c>
      <c r="I9" s="14"/>
    </row>
    <row r="10" spans="2:23" x14ac:dyDescent="0.25">
      <c r="B10" s="13"/>
      <c r="C10" s="21" t="s">
        <v>139</v>
      </c>
      <c r="D10" s="21" t="s">
        <v>23</v>
      </c>
      <c r="E10"/>
      <c r="F10" s="18" t="s">
        <v>66</v>
      </c>
      <c r="G10" s="49">
        <v>0</v>
      </c>
      <c r="I10" s="14"/>
    </row>
    <row r="11" spans="2:23" x14ac:dyDescent="0.25">
      <c r="B11" s="13"/>
      <c r="C11" s="18" t="s">
        <v>28</v>
      </c>
      <c r="D11" s="49">
        <v>516</v>
      </c>
      <c r="E11"/>
      <c r="F11" s="18" t="s">
        <v>91</v>
      </c>
      <c r="G11" s="49">
        <v>0</v>
      </c>
      <c r="I11" s="14"/>
    </row>
    <row r="12" spans="2:23" x14ac:dyDescent="0.25">
      <c r="B12" s="13"/>
      <c r="C12" s="18" t="s">
        <v>29</v>
      </c>
      <c r="D12" s="49">
        <v>397</v>
      </c>
      <c r="E12"/>
      <c r="F12" s="32" t="s">
        <v>154</v>
      </c>
      <c r="I12" s="14"/>
    </row>
    <row r="13" spans="2:23" x14ac:dyDescent="0.25">
      <c r="B13" s="13"/>
      <c r="C13" s="18" t="s">
        <v>89</v>
      </c>
      <c r="D13" s="49">
        <v>4</v>
      </c>
      <c r="E13"/>
      <c r="F13" s="32" t="s">
        <v>92</v>
      </c>
      <c r="I13" s="14"/>
    </row>
    <row r="14" spans="2:23" x14ac:dyDescent="0.25">
      <c r="B14" s="13"/>
      <c r="C14" s="32" t="s">
        <v>155</v>
      </c>
      <c r="E14"/>
      <c r="F14" s="22" t="s">
        <v>34</v>
      </c>
      <c r="G14" s="22" t="s">
        <v>23</v>
      </c>
      <c r="I14" s="14"/>
    </row>
    <row r="15" spans="2:23" x14ac:dyDescent="0.25">
      <c r="B15" s="13"/>
      <c r="C15" s="21" t="s">
        <v>138</v>
      </c>
      <c r="D15" s="21" t="s">
        <v>23</v>
      </c>
      <c r="E15"/>
      <c r="F15" s="18" t="s">
        <v>142</v>
      </c>
      <c r="G15" s="49">
        <v>389</v>
      </c>
      <c r="I15" s="14"/>
    </row>
    <row r="16" spans="2:23" x14ac:dyDescent="0.25">
      <c r="B16" s="13"/>
      <c r="C16" s="18" t="s">
        <v>156</v>
      </c>
      <c r="D16" s="49">
        <v>1</v>
      </c>
      <c r="E16"/>
      <c r="F16" s="18" t="s">
        <v>143</v>
      </c>
      <c r="G16" s="49">
        <v>62</v>
      </c>
      <c r="I16" s="14"/>
    </row>
    <row r="17" spans="2:9" x14ac:dyDescent="0.25">
      <c r="B17" s="13"/>
      <c r="C17" s="18" t="s">
        <v>157</v>
      </c>
      <c r="D17" s="49">
        <v>0</v>
      </c>
      <c r="E17"/>
      <c r="F17" s="18" t="s">
        <v>144</v>
      </c>
      <c r="G17" s="49">
        <v>268</v>
      </c>
      <c r="I17" s="14"/>
    </row>
    <row r="18" spans="2:9" x14ac:dyDescent="0.25">
      <c r="B18" s="13"/>
      <c r="C18" s="32" t="s">
        <v>158</v>
      </c>
      <c r="E18"/>
      <c r="F18" s="18" t="s">
        <v>36</v>
      </c>
      <c r="G18" s="49">
        <v>39</v>
      </c>
      <c r="I18" s="14"/>
    </row>
    <row r="19" spans="2:9" x14ac:dyDescent="0.25">
      <c r="B19" s="13"/>
      <c r="E19"/>
      <c r="I19" s="14"/>
    </row>
    <row r="20" spans="2:9" ht="29.25" customHeight="1" x14ac:dyDescent="0.25">
      <c r="B20" s="13"/>
      <c r="C20" s="43" t="s">
        <v>33</v>
      </c>
      <c r="D20" s="43" t="s">
        <v>23</v>
      </c>
      <c r="E20"/>
      <c r="F20" s="33" t="s">
        <v>113</v>
      </c>
      <c r="G20" s="33" t="s">
        <v>31</v>
      </c>
      <c r="H20" s="34" t="s">
        <v>73</v>
      </c>
      <c r="I20" s="14"/>
    </row>
    <row r="21" spans="2:9" x14ac:dyDescent="0.25">
      <c r="B21" s="13"/>
      <c r="C21" s="58" t="s">
        <v>140</v>
      </c>
      <c r="D21" s="59">
        <v>379</v>
      </c>
      <c r="E21"/>
      <c r="F21" s="18" t="s">
        <v>69</v>
      </c>
      <c r="G21" s="49">
        <v>47</v>
      </c>
      <c r="H21" s="49">
        <v>21</v>
      </c>
      <c r="I21" s="14"/>
    </row>
    <row r="22" spans="2:9" ht="15" customHeight="1" x14ac:dyDescent="0.25">
      <c r="B22" s="13"/>
      <c r="C22" s="58" t="s">
        <v>90</v>
      </c>
      <c r="D22" s="59">
        <v>122</v>
      </c>
      <c r="E22"/>
      <c r="F22" s="18" t="s">
        <v>70</v>
      </c>
      <c r="G22" s="49">
        <v>293</v>
      </c>
      <c r="H22" s="49">
        <v>232</v>
      </c>
      <c r="I22" s="14"/>
    </row>
    <row r="23" spans="2:9" ht="24.75" x14ac:dyDescent="0.25">
      <c r="B23" s="13"/>
      <c r="C23" s="68" t="s">
        <v>141</v>
      </c>
      <c r="D23" s="68"/>
      <c r="E23"/>
      <c r="F23" s="18" t="s">
        <v>71</v>
      </c>
      <c r="G23" s="49">
        <v>90</v>
      </c>
      <c r="H23" s="49">
        <v>73</v>
      </c>
      <c r="I23" s="14"/>
    </row>
    <row r="24" spans="2:9" x14ac:dyDescent="0.25">
      <c r="B24" s="13"/>
      <c r="E24"/>
      <c r="F24" s="18" t="s">
        <v>72</v>
      </c>
      <c r="G24" s="49">
        <v>30</v>
      </c>
      <c r="H24" s="49">
        <v>25</v>
      </c>
      <c r="I24" s="14"/>
    </row>
    <row r="25" spans="2:9" ht="30" customHeight="1" x14ac:dyDescent="0.25">
      <c r="B25" s="13"/>
      <c r="C25" s="72" t="str">
        <f>"Seleccione "&amp;W3&amp;" procesos teminados en el  primer semestre de 2021 y llene la siguiente tabla:"</f>
        <v>Seleccione 0 procesos teminados en el  primer semestre de 2021 y llene la siguiente tabla:</v>
      </c>
      <c r="D25" s="65"/>
      <c r="E25"/>
      <c r="F25" s="101" t="s">
        <v>145</v>
      </c>
      <c r="G25" s="101"/>
      <c r="H25" s="101"/>
      <c r="I25" s="14"/>
    </row>
    <row r="26" spans="2:9" ht="15.75" thickBot="1" x14ac:dyDescent="0.3">
      <c r="B26" s="13"/>
      <c r="C26" s="66"/>
      <c r="D26" s="67"/>
      <c r="E26"/>
      <c r="F26" s="60"/>
      <c r="I26" s="14"/>
    </row>
    <row r="27" spans="2:9" ht="15.75" thickBot="1" x14ac:dyDescent="0.3">
      <c r="B27" s="13"/>
      <c r="C27" s="43" t="s">
        <v>101</v>
      </c>
      <c r="D27" s="43" t="s">
        <v>23</v>
      </c>
      <c r="E27"/>
      <c r="F27" s="97" t="s">
        <v>100</v>
      </c>
      <c r="G27" s="98"/>
      <c r="H27" s="99"/>
      <c r="I27" s="14"/>
    </row>
    <row r="28" spans="2:9" x14ac:dyDescent="0.25">
      <c r="B28" s="13"/>
      <c r="C28" s="18" t="s">
        <v>93</v>
      </c>
      <c r="D28" s="49"/>
      <c r="E28"/>
      <c r="F28" s="88" t="s">
        <v>166</v>
      </c>
      <c r="G28" s="89"/>
      <c r="H28" s="90"/>
      <c r="I28" s="14"/>
    </row>
    <row r="29" spans="2:9" x14ac:dyDescent="0.25">
      <c r="B29" s="13"/>
      <c r="C29" s="18" t="s">
        <v>94</v>
      </c>
      <c r="D29" s="49"/>
      <c r="E29"/>
      <c r="F29" s="91"/>
      <c r="G29" s="92"/>
      <c r="H29" s="93"/>
      <c r="I29" s="14"/>
    </row>
    <row r="30" spans="2:9" x14ac:dyDescent="0.25">
      <c r="B30" s="13"/>
      <c r="C30" s="18" t="s">
        <v>95</v>
      </c>
      <c r="D30" s="49"/>
      <c r="E30"/>
      <c r="F30" s="91"/>
      <c r="G30" s="92"/>
      <c r="H30" s="93"/>
      <c r="I30" s="14"/>
    </row>
    <row r="31" spans="2:9" x14ac:dyDescent="0.25">
      <c r="B31" s="13"/>
      <c r="C31" s="18" t="s">
        <v>96</v>
      </c>
      <c r="D31" s="49"/>
      <c r="E31"/>
      <c r="F31" s="91"/>
      <c r="G31" s="92"/>
      <c r="H31" s="93"/>
      <c r="I31" s="14"/>
    </row>
    <row r="32" spans="2:9" x14ac:dyDescent="0.25">
      <c r="B32" s="13"/>
      <c r="C32" s="18" t="s">
        <v>97</v>
      </c>
      <c r="D32" s="49"/>
      <c r="E32"/>
      <c r="F32" s="91"/>
      <c r="G32" s="92"/>
      <c r="H32" s="93"/>
      <c r="I32" s="14"/>
    </row>
    <row r="33" spans="2:9" ht="15.75" thickBot="1" x14ac:dyDescent="0.3">
      <c r="B33" s="13"/>
      <c r="E33"/>
      <c r="F33" s="94"/>
      <c r="G33" s="95"/>
      <c r="H33" s="96"/>
      <c r="I33" s="14"/>
    </row>
    <row r="34" spans="2:9" ht="15.75" thickBot="1" x14ac:dyDescent="0.3">
      <c r="B34" s="15"/>
      <c r="C34" s="16"/>
      <c r="D34" s="16"/>
      <c r="E34" s="16"/>
      <c r="F34" s="16"/>
      <c r="G34" s="16"/>
      <c r="H34" s="16"/>
      <c r="I34" s="17"/>
    </row>
  </sheetData>
  <sheetProtection algorithmName="SHA-512" hashValue="1LQzvxd3FK+E90SQLLzX5Rai2EmYBOBma43kWnmDwskYenMl6bYZx6NaN4CKcWv/yZGRSCPbvwyj2t2pdqNHcA==" saltValue="YE6ZbfAsPhu0GVoeu6CeMg==" spinCount="100000" sheet="1" objects="1" scenarios="1"/>
  <mergeCells count="4">
    <mergeCell ref="F27:H27"/>
    <mergeCell ref="F28:H33"/>
    <mergeCell ref="C6:H6"/>
    <mergeCell ref="F25:H25"/>
  </mergeCells>
  <dataValidations count="1">
    <dataValidation type="date" allowBlank="1" showInputMessage="1" showErrorMessage="1" sqref="D8" xr:uid="{00000000-0002-0000-0300-000000000000}">
      <formula1>44378</formula1>
      <formula2>44439</formula2>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3"/>
  <sheetViews>
    <sheetView showGridLines="0" tabSelected="1" topLeftCell="E17" workbookViewId="0">
      <selection activeCell="J22" sqref="J22"/>
    </sheetView>
  </sheetViews>
  <sheetFormatPr baseColWidth="10" defaultColWidth="11.42578125" defaultRowHeight="15" x14ac:dyDescent="0.25"/>
  <cols>
    <col min="1" max="1" width="3.85546875" style="1" customWidth="1"/>
    <col min="2" max="2" width="11.42578125" style="1"/>
    <col min="3" max="3" width="50.85546875" style="1" bestFit="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c r="V2" s="1">
        <f>+D13+D14</f>
        <v>10</v>
      </c>
    </row>
    <row r="3" spans="2:22" x14ac:dyDescent="0.25">
      <c r="B3" s="13"/>
      <c r="H3" s="14"/>
      <c r="V3" s="25">
        <f>+IF(V2&lt;=20,V2,IF(ROUNDDOWN(V2*10%,0)&lt;20,20,ROUNDDOWN(V2*10%,0)))</f>
        <v>10</v>
      </c>
    </row>
    <row r="4" spans="2:22" x14ac:dyDescent="0.25">
      <c r="B4" s="13"/>
      <c r="H4" s="14"/>
    </row>
    <row r="5" spans="2:22" x14ac:dyDescent="0.25">
      <c r="B5" s="13"/>
      <c r="H5" s="14"/>
    </row>
    <row r="6" spans="2:22" ht="15" customHeight="1" x14ac:dyDescent="0.25">
      <c r="B6" s="13"/>
      <c r="G6" s="26"/>
      <c r="H6" s="27"/>
    </row>
    <row r="7" spans="2:22" ht="23.25" x14ac:dyDescent="0.25">
      <c r="B7" s="13"/>
      <c r="C7" s="100" t="s">
        <v>56</v>
      </c>
      <c r="D7" s="100"/>
      <c r="E7" s="100"/>
      <c r="F7" s="100"/>
      <c r="G7" s="100"/>
      <c r="H7" s="27"/>
    </row>
    <row r="8" spans="2:22" x14ac:dyDescent="0.25">
      <c r="B8" s="13"/>
      <c r="H8" s="14"/>
      <c r="T8" s="1" t="s">
        <v>13</v>
      </c>
    </row>
    <row r="9" spans="2:22" ht="15" customHeight="1" x14ac:dyDescent="0.25">
      <c r="B9" s="13"/>
      <c r="C9" s="21" t="s">
        <v>146</v>
      </c>
      <c r="D9" s="21" t="s">
        <v>23</v>
      </c>
      <c r="E9"/>
      <c r="F9" s="84" t="str">
        <f>"Seleccione una muestra de "&amp;V3&amp;" prejudiciales activos registrados antes de 31 de diciembre de 2020 y complete la siguiente tabla"</f>
        <v>Seleccione una muestra de 10 prejudiciales activos registrados antes de 31 de diciembre de 2020 y complete la siguiente tabla</v>
      </c>
      <c r="G9" s="85"/>
      <c r="H9" s="14"/>
      <c r="T9" s="1" t="s">
        <v>14</v>
      </c>
    </row>
    <row r="10" spans="2:22" x14ac:dyDescent="0.25">
      <c r="B10" s="13"/>
      <c r="C10" s="18" t="s">
        <v>55</v>
      </c>
      <c r="D10" s="49">
        <v>27</v>
      </c>
      <c r="E10"/>
      <c r="F10" s="86"/>
      <c r="G10" s="87"/>
      <c r="H10" s="14"/>
    </row>
    <row r="11" spans="2:22" x14ac:dyDescent="0.25">
      <c r="B11" s="13"/>
      <c r="C11" s="18" t="s">
        <v>57</v>
      </c>
      <c r="D11" s="49">
        <v>27</v>
      </c>
      <c r="E11"/>
      <c r="F11" s="22" t="s">
        <v>33</v>
      </c>
      <c r="G11" s="22" t="s">
        <v>59</v>
      </c>
      <c r="H11" s="14"/>
    </row>
    <row r="12" spans="2:22" x14ac:dyDescent="0.25">
      <c r="B12" s="13"/>
      <c r="C12" s="18" t="s">
        <v>147</v>
      </c>
      <c r="D12" s="49">
        <v>17</v>
      </c>
      <c r="E12"/>
      <c r="F12" s="30" t="s">
        <v>60</v>
      </c>
      <c r="G12" s="49">
        <v>4</v>
      </c>
      <c r="H12" s="14"/>
    </row>
    <row r="13" spans="2:22" x14ac:dyDescent="0.25">
      <c r="B13" s="13"/>
      <c r="C13" s="18" t="s">
        <v>148</v>
      </c>
      <c r="D13" s="49">
        <v>10</v>
      </c>
      <c r="E13"/>
      <c r="F13" s="18" t="s">
        <v>61</v>
      </c>
      <c r="G13" s="49">
        <v>6</v>
      </c>
      <c r="H13" s="14"/>
    </row>
    <row r="14" spans="2:22" x14ac:dyDescent="0.25">
      <c r="B14" s="13"/>
      <c r="C14" s="18" t="s">
        <v>86</v>
      </c>
      <c r="D14" s="49">
        <v>0</v>
      </c>
      <c r="E14"/>
      <c r="F14"/>
      <c r="G14"/>
      <c r="H14" s="14"/>
    </row>
    <row r="15" spans="2:22" x14ac:dyDescent="0.25">
      <c r="B15" s="13"/>
      <c r="E15"/>
      <c r="F15"/>
      <c r="G15"/>
      <c r="H15" s="14"/>
    </row>
    <row r="16" spans="2:22" ht="15.75" thickBot="1" x14ac:dyDescent="0.3">
      <c r="B16" s="13"/>
      <c r="C16" s="21" t="s">
        <v>121</v>
      </c>
      <c r="D16" s="21" t="s">
        <v>23</v>
      </c>
      <c r="E16"/>
      <c r="F16" s="102" t="s">
        <v>100</v>
      </c>
      <c r="G16" s="102"/>
      <c r="H16" s="14"/>
    </row>
    <row r="17" spans="2:8" x14ac:dyDescent="0.25">
      <c r="B17" s="13"/>
      <c r="C17" s="18" t="s">
        <v>150</v>
      </c>
      <c r="D17" s="49">
        <v>30</v>
      </c>
      <c r="E17"/>
      <c r="F17" s="103" t="s">
        <v>169</v>
      </c>
      <c r="G17" s="104"/>
      <c r="H17" s="14"/>
    </row>
    <row r="18" spans="2:8" x14ac:dyDescent="0.25">
      <c r="B18" s="13"/>
      <c r="C18" s="18" t="s">
        <v>149</v>
      </c>
      <c r="D18" s="49">
        <v>20</v>
      </c>
      <c r="E18"/>
      <c r="F18" s="105"/>
      <c r="G18" s="106"/>
      <c r="H18" s="14"/>
    </row>
    <row r="19" spans="2:8" x14ac:dyDescent="0.25">
      <c r="B19" s="13"/>
      <c r="C19"/>
      <c r="D19"/>
      <c r="E19"/>
      <c r="F19" s="105"/>
      <c r="G19" s="106"/>
      <c r="H19" s="14"/>
    </row>
    <row r="20" spans="2:8" x14ac:dyDescent="0.25">
      <c r="B20" s="13"/>
      <c r="C20"/>
      <c r="D20"/>
      <c r="E20"/>
      <c r="F20" s="105"/>
      <c r="G20" s="106"/>
      <c r="H20" s="14"/>
    </row>
    <row r="21" spans="2:8" x14ac:dyDescent="0.25">
      <c r="B21" s="13"/>
      <c r="E21"/>
      <c r="F21" s="105"/>
      <c r="G21" s="106"/>
      <c r="H21" s="14"/>
    </row>
    <row r="22" spans="2:8" ht="15.75" thickBot="1" x14ac:dyDescent="0.3">
      <c r="B22" s="13"/>
      <c r="E22"/>
      <c r="F22" s="107"/>
      <c r="G22" s="108"/>
      <c r="H22" s="14"/>
    </row>
    <row r="23" spans="2:8" ht="15.75" thickBot="1" x14ac:dyDescent="0.3">
      <c r="B23" s="15"/>
      <c r="C23" s="16"/>
      <c r="D23" s="16"/>
      <c r="E23" s="16"/>
      <c r="F23" s="16"/>
      <c r="G23" s="16"/>
      <c r="H23" s="17"/>
    </row>
  </sheetData>
  <sheetProtection algorithmName="SHA-512" hashValue="IFQHgU0wQOs72yfcmcv3fgZbZmNeop7iQNQHEllk7oS+l83wTQuhCYUxhfsLpXfdE5ytlnOwS5TLqs+ZhcJsYg==" saltValue="Vvbanjuf+LAv3tT+FQci/g==" spinCount="100000" sheet="1"/>
  <mergeCells count="4">
    <mergeCell ref="F9:G10"/>
    <mergeCell ref="C7:G7"/>
    <mergeCell ref="F16:G16"/>
    <mergeCell ref="F17:G2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7"/>
  <sheetViews>
    <sheetView showGridLines="0" topLeftCell="B5" workbookViewId="0">
      <selection activeCell="C6" sqref="C6"/>
    </sheetView>
  </sheetViews>
  <sheetFormatPr baseColWidth="10" defaultColWidth="11.42578125" defaultRowHeight="15" x14ac:dyDescent="0.25"/>
  <cols>
    <col min="1" max="1" width="3.85546875" style="1" customWidth="1"/>
    <col min="2" max="2" width="11.42578125" style="1"/>
    <col min="3" max="3" width="38.7109375" style="1" bestFit="1" customWidth="1"/>
    <col min="4" max="4" width="20.85546875" style="1" customWidth="1"/>
    <col min="5" max="5" width="6.28515625" style="1" customWidth="1"/>
    <col min="6" max="6" width="48.28515625" style="1" bestFit="1" customWidth="1"/>
    <col min="7" max="7" width="21.710937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+IF(D10&lt;=10,D10,IF(ROUNDDOWN(D10*10%,0)&gt;10,10,ROUNDDOWN(D10*10%,0)))</f>
        <v>0</v>
      </c>
    </row>
    <row r="4" spans="2:22" x14ac:dyDescent="0.25">
      <c r="B4" s="13"/>
      <c r="H4" s="14"/>
    </row>
    <row r="5" spans="2:22" x14ac:dyDescent="0.25">
      <c r="B5" s="13"/>
      <c r="H5" s="14"/>
    </row>
    <row r="6" spans="2:22" ht="36.75" customHeight="1" x14ac:dyDescent="0.35">
      <c r="B6" s="13"/>
      <c r="C6" s="28" t="s">
        <v>76</v>
      </c>
      <c r="D6" s="29"/>
      <c r="E6" s="24"/>
      <c r="F6"/>
      <c r="G6"/>
      <c r="H6" s="27"/>
    </row>
    <row r="7" spans="2:22" x14ac:dyDescent="0.25">
      <c r="B7" s="13"/>
      <c r="F7"/>
      <c r="G7"/>
      <c r="H7" s="14"/>
      <c r="T7" s="1" t="s">
        <v>13</v>
      </c>
    </row>
    <row r="8" spans="2:22" x14ac:dyDescent="0.25">
      <c r="B8" s="13"/>
      <c r="C8" s="21" t="s">
        <v>76</v>
      </c>
      <c r="D8" s="21" t="s">
        <v>23</v>
      </c>
      <c r="E8"/>
      <c r="F8" s="21" t="s">
        <v>76</v>
      </c>
      <c r="G8" s="21" t="s">
        <v>23</v>
      </c>
      <c r="H8" s="14"/>
      <c r="T8" s="1" t="s">
        <v>14</v>
      </c>
    </row>
    <row r="9" spans="2:22" x14ac:dyDescent="0.25">
      <c r="B9" s="13"/>
      <c r="C9" s="18" t="s">
        <v>151</v>
      </c>
      <c r="D9" s="49">
        <v>0</v>
      </c>
      <c r="E9"/>
      <c r="F9" s="18" t="s">
        <v>152</v>
      </c>
      <c r="G9" s="54">
        <v>0</v>
      </c>
      <c r="H9" s="14"/>
    </row>
    <row r="10" spans="2:22" x14ac:dyDescent="0.25">
      <c r="B10" s="13"/>
      <c r="C10" s="18" t="s">
        <v>78</v>
      </c>
      <c r="D10" s="49">
        <v>0</v>
      </c>
      <c r="E10"/>
      <c r="F10" s="18" t="s">
        <v>98</v>
      </c>
      <c r="G10" s="54">
        <v>0</v>
      </c>
      <c r="H10" s="14"/>
    </row>
    <row r="11" spans="2:22" x14ac:dyDescent="0.25">
      <c r="B11" s="13"/>
      <c r="D11" s="53"/>
      <c r="E11"/>
      <c r="G11" s="55"/>
      <c r="H11" s="14"/>
    </row>
    <row r="12" spans="2:22" ht="15.75" thickBot="1" x14ac:dyDescent="0.3">
      <c r="B12" s="13"/>
      <c r="C12" s="56" t="s">
        <v>102</v>
      </c>
      <c r="D12" s="53"/>
      <c r="E12"/>
      <c r="G12" s="55"/>
      <c r="H12" s="14"/>
      <c r="T12" s="1">
        <f>IF(D9="",0,1)</f>
        <v>1</v>
      </c>
    </row>
    <row r="13" spans="2:22" x14ac:dyDescent="0.25">
      <c r="B13" s="13"/>
      <c r="C13" s="109"/>
      <c r="D13" s="110"/>
      <c r="E13" s="110"/>
      <c r="F13" s="110"/>
      <c r="G13" s="111"/>
      <c r="H13" s="14"/>
    </row>
    <row r="14" spans="2:22" x14ac:dyDescent="0.25">
      <c r="B14" s="13"/>
      <c r="C14" s="112"/>
      <c r="D14" s="113"/>
      <c r="E14" s="113"/>
      <c r="F14" s="113"/>
      <c r="G14" s="114"/>
      <c r="H14" s="14"/>
    </row>
    <row r="15" spans="2:22" x14ac:dyDescent="0.25">
      <c r="B15" s="13"/>
      <c r="C15" s="112"/>
      <c r="D15" s="113"/>
      <c r="E15" s="113"/>
      <c r="F15" s="113"/>
      <c r="G15" s="114"/>
      <c r="H15" s="14"/>
    </row>
    <row r="16" spans="2:22" ht="15.75" thickBot="1" x14ac:dyDescent="0.3">
      <c r="B16" s="13"/>
      <c r="C16" s="115"/>
      <c r="D16" s="116"/>
      <c r="E16" s="116"/>
      <c r="F16" s="116"/>
      <c r="G16" s="117"/>
      <c r="H16" s="14"/>
      <c r="T16" s="1">
        <f>IF(G9="",0,1)</f>
        <v>1</v>
      </c>
    </row>
    <row r="17" spans="2:20" ht="15.75" thickBot="1" x14ac:dyDescent="0.3">
      <c r="B17" s="15"/>
      <c r="C17" s="16"/>
      <c r="D17" s="16"/>
      <c r="E17" s="16"/>
      <c r="F17" s="16"/>
      <c r="G17" s="16"/>
      <c r="H17" s="17"/>
      <c r="T17" s="1">
        <f>+T12+T16</f>
        <v>2</v>
      </c>
    </row>
  </sheetData>
  <sheetProtection algorithmName="SHA-512" hashValue="8EtTw72DUTsc3xgyVubbRS4sSgH4yVUF1aVBcEbpjtkeW49RZz0xWb+uqV4ctvmgBUedgMxWym8mQZmsu5skNw==" saltValue="s7gKwqCu7U7WrIwxI3BXOQ==" spinCount="100000" sheet="1"/>
  <mergeCells count="1">
    <mergeCell ref="C13:G1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1"/>
  <sheetViews>
    <sheetView showGridLines="0" topLeftCell="C5" workbookViewId="0">
      <selection activeCell="D17" sqref="D17"/>
    </sheetView>
  </sheetViews>
  <sheetFormatPr baseColWidth="10" defaultColWidth="11.42578125" defaultRowHeight="15" x14ac:dyDescent="0.25"/>
  <cols>
    <col min="1" max="1" width="3.85546875" style="1" customWidth="1"/>
    <col min="2" max="2" width="11.42578125" style="1"/>
    <col min="3" max="3" width="38.7109375" style="1" bestFit="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+IF(D10&lt;=10,D10,IF(ROUNDDOWN(D10*10%,0)&gt;10,10,ROUNDDOWN(D10*10%,0)))</f>
        <v>0</v>
      </c>
    </row>
    <row r="4" spans="2:22" x14ac:dyDescent="0.25">
      <c r="B4" s="13"/>
      <c r="H4" s="14"/>
    </row>
    <row r="5" spans="2:22" x14ac:dyDescent="0.25">
      <c r="B5" s="13"/>
      <c r="H5" s="14"/>
    </row>
    <row r="6" spans="2:22" ht="21.75" customHeight="1" x14ac:dyDescent="0.35">
      <c r="B6" s="13"/>
      <c r="C6" s="100" t="s">
        <v>8</v>
      </c>
      <c r="D6" s="100"/>
      <c r="E6" s="24"/>
      <c r="F6"/>
      <c r="G6"/>
      <c r="H6" s="27"/>
      <c r="T6" s="1" t="s">
        <v>12</v>
      </c>
    </row>
    <row r="7" spans="2:22" ht="15.75" thickBot="1" x14ac:dyDescent="0.3">
      <c r="B7" s="13"/>
      <c r="F7" s="57" t="s">
        <v>102</v>
      </c>
      <c r="G7"/>
      <c r="H7" s="14"/>
      <c r="T7" s="1" t="s">
        <v>13</v>
      </c>
    </row>
    <row r="8" spans="2:22" x14ac:dyDescent="0.25">
      <c r="B8" s="13"/>
      <c r="C8" s="21" t="s">
        <v>32</v>
      </c>
      <c r="D8" s="21" t="s">
        <v>23</v>
      </c>
      <c r="E8"/>
      <c r="F8" s="88" t="s">
        <v>159</v>
      </c>
      <c r="G8" s="90"/>
      <c r="H8" s="14"/>
      <c r="T8" s="1" t="s">
        <v>14</v>
      </c>
    </row>
    <row r="9" spans="2:22" x14ac:dyDescent="0.25">
      <c r="B9" s="13"/>
      <c r="C9" s="18" t="s">
        <v>80</v>
      </c>
      <c r="D9" s="49" t="s">
        <v>12</v>
      </c>
      <c r="E9"/>
      <c r="F9" s="91"/>
      <c r="G9" s="93"/>
      <c r="H9" s="14"/>
    </row>
    <row r="10" spans="2:22" ht="15.75" thickBot="1" x14ac:dyDescent="0.3">
      <c r="B10" s="13"/>
      <c r="C10" s="18" t="s">
        <v>153</v>
      </c>
      <c r="D10" s="49">
        <v>0</v>
      </c>
      <c r="E10"/>
      <c r="F10" s="94"/>
      <c r="G10" s="96"/>
      <c r="H10" s="14"/>
    </row>
    <row r="11" spans="2:22" ht="15.75" thickBot="1" x14ac:dyDescent="0.3">
      <c r="B11" s="15"/>
      <c r="C11" s="16"/>
      <c r="D11" s="16"/>
      <c r="E11" s="16"/>
      <c r="F11" s="16"/>
      <c r="G11" s="16"/>
      <c r="H11" s="17"/>
    </row>
  </sheetData>
  <sheetProtection algorithmName="SHA-512" hashValue="/ZzSyQAjLAMpx22hv4BMxC56M11jIp+M9GYaD5hWkIVBMYg5KFV9fKVJiMX1aM4pGt6+X5JrrCcQTnqjWfkUxQ==" saltValue="DuBnF281jxedCqpWgH2+Kg==" spinCount="100000" sheet="1"/>
  <mergeCells count="2">
    <mergeCell ref="C6:D6"/>
    <mergeCell ref="F8:G10"/>
  </mergeCells>
  <dataValidations count="1">
    <dataValidation type="list" allowBlank="1" showInputMessage="1" showErrorMessage="1" sqref="D9" xr:uid="{00000000-0002-0000-0600-000000000000}">
      <formula1>$T$6:$T$7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M26"/>
  <sheetViews>
    <sheetView showGridLines="0" topLeftCell="A7" workbookViewId="0">
      <selection activeCell="C5" sqref="C5:G5"/>
    </sheetView>
  </sheetViews>
  <sheetFormatPr baseColWidth="10" defaultRowHeight="15" x14ac:dyDescent="0.25"/>
  <cols>
    <col min="2" max="2" width="33" bestFit="1" customWidth="1"/>
    <col min="3" max="3" width="14.42578125" bestFit="1" customWidth="1"/>
    <col min="5" max="5" width="33" bestFit="1" customWidth="1"/>
    <col min="6" max="6" width="14.42578125" bestFit="1" customWidth="1"/>
  </cols>
  <sheetData>
    <row r="2" spans="2:13" ht="18.75" x14ac:dyDescent="0.3">
      <c r="B2" s="119" t="s">
        <v>10</v>
      </c>
      <c r="C2" s="119"/>
      <c r="D2" s="119"/>
      <c r="E2" s="119"/>
      <c r="F2" s="119"/>
      <c r="G2" s="119"/>
      <c r="H2" s="40"/>
      <c r="I2" s="40"/>
      <c r="J2" s="40"/>
      <c r="K2" s="40"/>
      <c r="L2" s="40"/>
      <c r="M2" s="41"/>
    </row>
    <row r="3" spans="2:13" ht="18.75" x14ac:dyDescent="0.3">
      <c r="B3" s="119" t="s">
        <v>11</v>
      </c>
      <c r="C3" s="119"/>
      <c r="D3" s="119"/>
      <c r="E3" s="119"/>
      <c r="F3" s="119"/>
      <c r="G3" s="119"/>
      <c r="H3" s="40"/>
      <c r="I3" s="40"/>
      <c r="J3" s="40"/>
      <c r="K3" s="40"/>
      <c r="L3" s="40"/>
      <c r="M3" s="41"/>
    </row>
    <row r="4" spans="2:13" ht="23.25" x14ac:dyDescent="0.35">
      <c r="B4" s="35"/>
      <c r="C4" s="35"/>
      <c r="D4" s="35"/>
      <c r="E4" s="35"/>
      <c r="F4" s="35"/>
      <c r="G4" s="35"/>
      <c r="H4" s="35"/>
      <c r="I4" s="35"/>
      <c r="J4" s="35"/>
      <c r="K4" s="35"/>
      <c r="L4" s="35"/>
      <c r="M4" s="35"/>
    </row>
    <row r="5" spans="2:13" x14ac:dyDescent="0.25">
      <c r="B5" t="s">
        <v>38</v>
      </c>
      <c r="C5" s="118" t="s">
        <v>167</v>
      </c>
      <c r="D5" s="118"/>
      <c r="E5" s="118"/>
      <c r="F5" s="118"/>
      <c r="G5" s="118"/>
    </row>
    <row r="6" spans="2:13" x14ac:dyDescent="0.25">
      <c r="B6" t="s">
        <v>3</v>
      </c>
      <c r="C6" s="118" t="s">
        <v>163</v>
      </c>
      <c r="D6" s="118"/>
      <c r="E6" s="118"/>
      <c r="F6" s="118"/>
      <c r="G6" s="118"/>
    </row>
    <row r="8" spans="2:13" x14ac:dyDescent="0.25">
      <c r="B8" t="s">
        <v>39</v>
      </c>
      <c r="C8" s="38" t="str">
        <f>+IF(SUM(USUARIOS!I12:J17)=0,"Falta diligenciar","")</f>
        <v/>
      </c>
      <c r="E8" t="s">
        <v>84</v>
      </c>
      <c r="F8" s="38" t="str">
        <f>+IF(PREJUDICIALES!$D$10="","Falta  actualizar","")</f>
        <v/>
      </c>
    </row>
    <row r="9" spans="2:13" x14ac:dyDescent="0.25">
      <c r="B9" s="37" t="s">
        <v>42</v>
      </c>
      <c r="C9" s="39">
        <f>+SUM(USUARIOS!I12:I17)/(6-SUM(USUARIOS!H12:H17))</f>
        <v>0.83333333333333337</v>
      </c>
      <c r="E9" s="37" t="s">
        <v>47</v>
      </c>
      <c r="F9" s="37">
        <f>+PREJUDICIALES!$D$11</f>
        <v>27</v>
      </c>
    </row>
    <row r="10" spans="2:13" x14ac:dyDescent="0.25">
      <c r="B10" s="37" t="s">
        <v>40</v>
      </c>
      <c r="C10" s="37">
        <f>+ABOGADOS!$D$12+SUM(USUARIOS!I12:I17)</f>
        <v>21</v>
      </c>
      <c r="E10" s="37" t="s">
        <v>45</v>
      </c>
      <c r="F10" s="39">
        <f>IFERROR(PREJUDICIALES!$D$11/PREJUDICIALES!$D$10,"")</f>
        <v>1</v>
      </c>
    </row>
    <row r="11" spans="2:13" x14ac:dyDescent="0.25">
      <c r="B11" s="37" t="s">
        <v>9</v>
      </c>
      <c r="C11" s="61" t="s">
        <v>116</v>
      </c>
      <c r="E11" s="37" t="s">
        <v>48</v>
      </c>
      <c r="F11" s="39">
        <f>IFERROR(PREJUDICIALES!$G$13/PREJUDICIALES!$V$3,"")</f>
        <v>0.6</v>
      </c>
    </row>
    <row r="12" spans="2:13" x14ac:dyDescent="0.25">
      <c r="B12" s="37" t="s">
        <v>41</v>
      </c>
      <c r="C12" s="39">
        <f>IFERROR((ABOGADOS!$G$17+ABOGADOS!$G$18+ABOGADOS!$G$19*0.5)/ABOGADOS!D12,"")</f>
        <v>0.5625</v>
      </c>
    </row>
    <row r="13" spans="2:13" x14ac:dyDescent="0.25">
      <c r="E13" t="s">
        <v>76</v>
      </c>
      <c r="F13" s="38" t="str">
        <f>+IF(ARBITRAMENTOS!T17=0,"Falta  actualizar","")</f>
        <v/>
      </c>
    </row>
    <row r="14" spans="2:13" x14ac:dyDescent="0.25">
      <c r="B14" t="s">
        <v>83</v>
      </c>
      <c r="C14" s="38" t="str">
        <f>+IF(JUDICIALES!$D$11="","Falta  actualizar","")</f>
        <v/>
      </c>
      <c r="E14" s="37" t="s">
        <v>46</v>
      </c>
      <c r="F14" s="37">
        <f>+ARBITRAMENTOS!D10</f>
        <v>0</v>
      </c>
    </row>
    <row r="15" spans="2:13" x14ac:dyDescent="0.25">
      <c r="B15" s="37" t="s">
        <v>43</v>
      </c>
      <c r="C15" s="37">
        <f>+JUDICIALES!$D$12</f>
        <v>397</v>
      </c>
      <c r="E15" s="37" t="s">
        <v>45</v>
      </c>
      <c r="F15" s="39" t="str">
        <f>IFERROR(ARBITRAMENTOS!D10/ARBITRAMENTOS!D9,"")</f>
        <v/>
      </c>
    </row>
    <row r="16" spans="2:13" x14ac:dyDescent="0.25">
      <c r="B16" s="37" t="s">
        <v>45</v>
      </c>
      <c r="C16" s="39">
        <f>IFERROR(JUDICIALES!$D$12/JUDICIALES!$D$11,"")</f>
        <v>0.76937984496124034</v>
      </c>
    </row>
    <row r="17" spans="2:6" x14ac:dyDescent="0.25">
      <c r="B17" s="37" t="s">
        <v>51</v>
      </c>
      <c r="C17" s="39" t="str">
        <f>IFERROR(JUDICIALES!$G$11/JUDICIALES!$G$10,"")</f>
        <v/>
      </c>
      <c r="E17" t="s">
        <v>79</v>
      </c>
      <c r="F17" s="38" t="str">
        <f>+IF(PAGOS!D9="","Falta  actualizar","")</f>
        <v/>
      </c>
    </row>
    <row r="18" spans="2:6" x14ac:dyDescent="0.25">
      <c r="B18" s="37" t="s">
        <v>44</v>
      </c>
      <c r="C18" s="37">
        <f>IFERROR(C15/ABOGADOS!$D$12,"")</f>
        <v>24.8125</v>
      </c>
      <c r="E18" s="37" t="s">
        <v>49</v>
      </c>
      <c r="F18" s="37">
        <f>+PAGOS!D10</f>
        <v>0</v>
      </c>
    </row>
    <row r="19" spans="2:6" x14ac:dyDescent="0.25">
      <c r="B19" s="37" t="s">
        <v>82</v>
      </c>
      <c r="C19" s="39">
        <f>IFERROR(1-(JUDICIALES!$H$22+JUDICIALES!$H$23+JUDICIALES!$H$24)/(JUDICIALES!$G$22+JUDICIALES!$G$23+JUDICIALES!$G$24),"")</f>
        <v>0.2009685230024213</v>
      </c>
      <c r="E19" s="37" t="s">
        <v>50</v>
      </c>
      <c r="F19" s="37" t="str">
        <f>+IF(PAGOS!D9="No","No aplica","si")</f>
        <v>si</v>
      </c>
    </row>
    <row r="21" spans="2:6" ht="15.75" thickBot="1" x14ac:dyDescent="0.3"/>
    <row r="22" spans="2:6" x14ac:dyDescent="0.25">
      <c r="B22" s="2" t="s">
        <v>102</v>
      </c>
      <c r="C22" s="3"/>
      <c r="D22" s="3"/>
      <c r="E22" s="3"/>
      <c r="F22" s="4"/>
    </row>
    <row r="23" spans="2:6" x14ac:dyDescent="0.25">
      <c r="B23" s="105"/>
      <c r="C23" s="120"/>
      <c r="D23" s="120"/>
      <c r="E23" s="120"/>
      <c r="F23" s="106"/>
    </row>
    <row r="24" spans="2:6" x14ac:dyDescent="0.25">
      <c r="B24" s="105"/>
      <c r="C24" s="120"/>
      <c r="D24" s="120"/>
      <c r="E24" s="120"/>
      <c r="F24" s="106"/>
    </row>
    <row r="25" spans="2:6" x14ac:dyDescent="0.25">
      <c r="B25" s="105"/>
      <c r="C25" s="120"/>
      <c r="D25" s="120"/>
      <c r="E25" s="120"/>
      <c r="F25" s="106"/>
    </row>
    <row r="26" spans="2:6" ht="15.75" thickBot="1" x14ac:dyDescent="0.3">
      <c r="B26" s="107"/>
      <c r="C26" s="121"/>
      <c r="D26" s="121"/>
      <c r="E26" s="121"/>
      <c r="F26" s="108"/>
    </row>
  </sheetData>
  <sheetProtection algorithmName="SHA-512" hashValue="oYy6+FMrDUJp7yajB2nFk6zfxjg7nx9wrBVSyVVHj9e4qRP7KnZOskU3IcSz5XU/0snkC3FPmsPSt6fMl/xLfw==" saltValue="JHNAqtUJ7WP4OFUpc0qITQ==" spinCount="100000" sheet="1" objects="1" scenarios="1"/>
  <mergeCells count="5">
    <mergeCell ref="C5:G5"/>
    <mergeCell ref="C6:G6"/>
    <mergeCell ref="B2:G2"/>
    <mergeCell ref="B3:G3"/>
    <mergeCell ref="B23:F2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BP18"/>
  <sheetViews>
    <sheetView zoomScaleNormal="100" workbookViewId="0">
      <selection activeCell="B5" sqref="B5"/>
    </sheetView>
  </sheetViews>
  <sheetFormatPr baseColWidth="10" defaultRowHeight="15" x14ac:dyDescent="0.25"/>
  <cols>
    <col min="1" max="1" width="34.42578125" customWidth="1"/>
    <col min="2" max="2" width="29.42578125" customWidth="1"/>
  </cols>
  <sheetData>
    <row r="2" spans="1:68" x14ac:dyDescent="0.25">
      <c r="A2" t="s">
        <v>38</v>
      </c>
      <c r="B2" t="s">
        <v>133</v>
      </c>
      <c r="C2" t="s">
        <v>0</v>
      </c>
      <c r="D2" t="s">
        <v>1</v>
      </c>
      <c r="E2" t="s">
        <v>2</v>
      </c>
      <c r="F2" t="s">
        <v>3</v>
      </c>
      <c r="G2" t="s">
        <v>4</v>
      </c>
      <c r="H2" t="s">
        <v>5</v>
      </c>
      <c r="I2" t="s">
        <v>21</v>
      </c>
      <c r="J2" t="s">
        <v>22</v>
      </c>
      <c r="K2" t="s">
        <v>26</v>
      </c>
      <c r="L2" t="s">
        <v>20</v>
      </c>
      <c r="M2" t="s">
        <v>109</v>
      </c>
      <c r="N2" s="1" t="s">
        <v>110</v>
      </c>
      <c r="O2" s="18" t="s">
        <v>103</v>
      </c>
      <c r="P2" s="18" t="s">
        <v>104</v>
      </c>
      <c r="Q2" s="18" t="s">
        <v>105</v>
      </c>
      <c r="S2" t="s">
        <v>28</v>
      </c>
      <c r="T2" t="s">
        <v>29</v>
      </c>
      <c r="U2" t="s">
        <v>30</v>
      </c>
      <c r="V2" t="s">
        <v>63</v>
      </c>
      <c r="W2" t="s">
        <v>62</v>
      </c>
      <c r="X2" t="s">
        <v>37</v>
      </c>
      <c r="Y2" t="s">
        <v>64</v>
      </c>
      <c r="Z2" t="s">
        <v>27</v>
      </c>
      <c r="AA2" t="s">
        <v>66</v>
      </c>
      <c r="AB2" t="s">
        <v>65</v>
      </c>
      <c r="AC2" t="s">
        <v>35</v>
      </c>
      <c r="AD2" t="s">
        <v>67</v>
      </c>
      <c r="AE2" t="s">
        <v>68</v>
      </c>
      <c r="AF2" t="s">
        <v>36</v>
      </c>
      <c r="AG2" t="s">
        <v>69</v>
      </c>
      <c r="AH2" t="s">
        <v>70</v>
      </c>
      <c r="AI2" t="s">
        <v>71</v>
      </c>
      <c r="AJ2" t="s">
        <v>72</v>
      </c>
      <c r="AK2" t="s">
        <v>69</v>
      </c>
      <c r="AL2" t="s">
        <v>70</v>
      </c>
      <c r="AM2" t="s">
        <v>71</v>
      </c>
      <c r="AN2" t="s">
        <v>72</v>
      </c>
      <c r="AO2" t="s">
        <v>55</v>
      </c>
      <c r="AP2" t="s">
        <v>57</v>
      </c>
      <c r="AQ2" t="s">
        <v>52</v>
      </c>
      <c r="AR2" t="s">
        <v>53</v>
      </c>
      <c r="AS2" t="s">
        <v>54</v>
      </c>
      <c r="AT2" t="s">
        <v>58</v>
      </c>
      <c r="AU2" t="s">
        <v>75</v>
      </c>
      <c r="AV2" t="s">
        <v>60</v>
      </c>
      <c r="AW2" t="s">
        <v>61</v>
      </c>
      <c r="AX2" t="s">
        <v>77</v>
      </c>
      <c r="AY2" t="s">
        <v>78</v>
      </c>
      <c r="AZ2" s="1" t="s">
        <v>80</v>
      </c>
      <c r="BA2" s="1" t="s">
        <v>81</v>
      </c>
      <c r="BB2" s="71" t="s">
        <v>130</v>
      </c>
      <c r="BC2" s="71" t="s">
        <v>131</v>
      </c>
      <c r="BD2" s="71" t="s">
        <v>132</v>
      </c>
      <c r="BE2" t="s">
        <v>93</v>
      </c>
      <c r="BF2" t="s">
        <v>94</v>
      </c>
      <c r="BG2" t="s">
        <v>95</v>
      </c>
      <c r="BH2" t="s">
        <v>96</v>
      </c>
      <c r="BI2" t="s">
        <v>97</v>
      </c>
      <c r="BJ2" t="s">
        <v>122</v>
      </c>
      <c r="BK2" t="s">
        <v>123</v>
      </c>
      <c r="BL2" t="s">
        <v>124</v>
      </c>
      <c r="BM2" t="s">
        <v>125</v>
      </c>
      <c r="BN2" t="s">
        <v>126</v>
      </c>
      <c r="BO2" t="s">
        <v>127</v>
      </c>
      <c r="BP2" t="s">
        <v>129</v>
      </c>
    </row>
    <row r="3" spans="1:68" x14ac:dyDescent="0.25">
      <c r="A3" t="str">
        <f>'Resumen general'!C5</f>
        <v>INSTITUTO NACIONAL DE VIGILANCIA DE MEDICAMENTOS Y ALIMENTOS</v>
      </c>
      <c r="B3" t="str">
        <f>'Resumen general'!C6</f>
        <v>NORMA CONSTANZA GARCIA RAMIREZ</v>
      </c>
      <c r="C3" t="str">
        <f>+USUARIOS!C12</f>
        <v>Si</v>
      </c>
      <c r="D3" t="str">
        <f>+USUARIOS!C13</f>
        <v>Si</v>
      </c>
      <c r="E3" t="str">
        <f>+USUARIOS!C14</f>
        <v>Si</v>
      </c>
      <c r="F3" t="str">
        <f>+USUARIOS!C15</f>
        <v>Si</v>
      </c>
      <c r="G3" t="str">
        <f>+USUARIOS!C16</f>
        <v>No</v>
      </c>
      <c r="H3" t="str">
        <f>+USUARIOS!C17</f>
        <v>Si</v>
      </c>
      <c r="I3">
        <f>+ABOGADOS!D11</f>
        <v>7</v>
      </c>
      <c r="J3">
        <f>+ABOGADOS!D12</f>
        <v>16</v>
      </c>
      <c r="K3">
        <f>+ABOGADOS!D13</f>
        <v>4</v>
      </c>
      <c r="L3">
        <f>+ABOGADOS!D14</f>
        <v>9</v>
      </c>
      <c r="M3">
        <f>+ABOGADOS!D17</f>
        <v>1</v>
      </c>
      <c r="N3">
        <f>+ABOGADOS!D18</f>
        <v>0</v>
      </c>
      <c r="O3">
        <f>+ABOGADOS!G10</f>
        <v>9</v>
      </c>
      <c r="P3">
        <f>+ABOGADOS!G11</f>
        <v>9</v>
      </c>
      <c r="Q3">
        <f>+ABOGADOS!G12</f>
        <v>9</v>
      </c>
      <c r="S3">
        <f>+JUDICIALES!D11</f>
        <v>516</v>
      </c>
      <c r="T3">
        <f>+JUDICIALES!D12</f>
        <v>397</v>
      </c>
      <c r="U3">
        <f>+JUDICIALES!D13</f>
        <v>4</v>
      </c>
      <c r="V3">
        <f>+JUDICIALES!D16</f>
        <v>1</v>
      </c>
      <c r="W3">
        <f>+JUDICIALES!D17</f>
        <v>0</v>
      </c>
      <c r="X3">
        <f>+JUDICIALES!D21</f>
        <v>379</v>
      </c>
      <c r="Y3">
        <f>+JUDICIALES!D22</f>
        <v>122</v>
      </c>
      <c r="Z3">
        <f>+JUDICIALES!G9</f>
        <v>0</v>
      </c>
      <c r="AA3">
        <f>+JUDICIALES!G10</f>
        <v>0</v>
      </c>
      <c r="AB3">
        <f>+JUDICIALES!G11</f>
        <v>0</v>
      </c>
      <c r="AC3">
        <f>+JUDICIALES!G15</f>
        <v>389</v>
      </c>
      <c r="AD3">
        <f>+JUDICIALES!G16</f>
        <v>62</v>
      </c>
      <c r="AE3">
        <f>+JUDICIALES!G17</f>
        <v>268</v>
      </c>
      <c r="AF3">
        <f>+JUDICIALES!G18</f>
        <v>39</v>
      </c>
      <c r="AG3">
        <f>+JUDICIALES!G21</f>
        <v>47</v>
      </c>
      <c r="AH3">
        <f>+JUDICIALES!G22</f>
        <v>293</v>
      </c>
      <c r="AI3">
        <f>+JUDICIALES!G23</f>
        <v>90</v>
      </c>
      <c r="AJ3">
        <f>+JUDICIALES!G24</f>
        <v>30</v>
      </c>
      <c r="AK3">
        <f>+JUDICIALES!H21</f>
        <v>21</v>
      </c>
      <c r="AL3">
        <f>+JUDICIALES!H22</f>
        <v>232</v>
      </c>
      <c r="AM3">
        <f>+JUDICIALES!H23</f>
        <v>73</v>
      </c>
      <c r="AN3">
        <f>+JUDICIALES!H24</f>
        <v>25</v>
      </c>
      <c r="AO3">
        <f>+PREJUDICIALES!D10</f>
        <v>27</v>
      </c>
      <c r="AP3">
        <f>+PREJUDICIALES!D11</f>
        <v>27</v>
      </c>
      <c r="AQ3">
        <f>+PREJUDICIALES!D12</f>
        <v>17</v>
      </c>
      <c r="AR3">
        <f>+PREJUDICIALES!D13</f>
        <v>10</v>
      </c>
      <c r="AS3">
        <f>+PREJUDICIALES!D14</f>
        <v>0</v>
      </c>
      <c r="AT3">
        <f>+PREJUDICIALES!D17</f>
        <v>30</v>
      </c>
      <c r="AU3">
        <f>+PREJUDICIALES!D18</f>
        <v>20</v>
      </c>
      <c r="AV3">
        <f>+PREJUDICIALES!G12</f>
        <v>4</v>
      </c>
      <c r="AW3">
        <f>+PREJUDICIALES!G13</f>
        <v>6</v>
      </c>
      <c r="AX3">
        <f>+ARBITRAMENTOS!D9</f>
        <v>0</v>
      </c>
      <c r="AY3">
        <f>+ARBITRAMENTOS!D10</f>
        <v>0</v>
      </c>
      <c r="AZ3" t="str">
        <f>+PAGOS!D9</f>
        <v>Si</v>
      </c>
      <c r="BA3">
        <f>+PAGOS!D10</f>
        <v>0</v>
      </c>
      <c r="BB3" s="71">
        <f>USUARIOS!D9</f>
        <v>44435</v>
      </c>
      <c r="BC3" s="71">
        <f>ABOGADOS!D7</f>
        <v>44435</v>
      </c>
      <c r="BD3" s="71">
        <f>JUDICIALES!D8</f>
        <v>44435</v>
      </c>
      <c r="BE3">
        <f>JUDICIALES!D28</f>
        <v>0</v>
      </c>
      <c r="BF3">
        <f>JUDICIALES!D29</f>
        <v>0</v>
      </c>
      <c r="BG3">
        <f>JUDICIALES!D30</f>
        <v>0</v>
      </c>
      <c r="BH3">
        <f>JUDICIALES!D31</f>
        <v>0</v>
      </c>
      <c r="BI3">
        <f>JUDICIALES!D32</f>
        <v>0</v>
      </c>
      <c r="BJ3" t="str">
        <f>+USUARIOS!C19</f>
        <v xml:space="preserve">Aparece como Jefe Jurídico la doctora MELISSA TRIANA LUNA, y en laactualidad se desempeña como Jefe de la Ofician Asesora Jurídica la doctora ANA MARIA SANTANA PUENTES.  Así mismo, no se encuentra diligenciado en el sistema el rol del Secretario Técnico.   </v>
      </c>
      <c r="BK3" t="str">
        <f>+ABOGADOS!C21</f>
        <v>Al revisar los correos de los abogados activos se evidenció que 4 tienen correos institucionales y los restantes son correos personales. Se estableció que aparecen en el sistema 16 abogados activos de los cuales solo 7 en la actualidad se encuentran litigando- activos según los datos aportados por entidad. La muestra revisada se tomó sobre los 16 abogados que aparecen activos en el sistema.</v>
      </c>
      <c r="BL3" t="str">
        <f>+JUDICIALES!F28</f>
        <v>la información del cuadro de condenas no se diligencia porque no hay muestra.</v>
      </c>
      <c r="BM3" t="str">
        <f>+PREJUDICIALES!F17</f>
        <v xml:space="preserve">1. 60259461 PORTILLA MARTINEZ MAGHDIEL CECILIA AUN NO SE HA CERRADO EN EKOGUI PORQUE NO SE HA LLEVADO A CABO LA AUDIENCIA Y NO HA LLEGADO CITACIÓN A AUDIENCIA POR PARTE DE PROCURADURIA. 2. 3674541 MUÑOZ GONZÁLEZ MANUEL ALFONSO AÚN NO SE HA CERRADO EN EKOGUI PORQUE NO SE HA LLEVADO A CABO LA AUDIENCIA, NO HA LLEGADO CITACIÓN A AUDIENCIA POR PARTE DE PROCURADURÍA. NI  SE HA LLEVADO A COMITÉ DE CONCILIACIÓN 3. 900297925   BIOCARE SAS ASIGNADA, EL 19 DE AGOSTO: HASTA LA FECHA NO SE HA LLEVADO A COMITÉ, Y LA PROCURADURÍA NO HA FIJADO FECHA PARA AUDIENCIA DE CONCILIACIÓN PREJUDICIAL, ASI MISMO FRENTE A LA ABOGADA ANA LUCIA VITATA SE SOLICITO PARA QUE  LE PUEDAN ENTREGAR PROCESOS POR EKOGUI Y AUN NO SE HA OBTENIDO RESPUESTA. 4. 41887811 TRUJILLO SOL ISABEL  REPOSA  RADICADA AL INVIMA EL DÍA 24 DE AGOSTO DE 2021 EL MEDIO DE CONTROL, ESTA  SOLICITUD DE CONCILIACIÓN COMO TAL NO HA SIDO RADICADA.  
</v>
      </c>
      <c r="BN3">
        <f>+ARBITRAMENTOS!C13</f>
        <v>0</v>
      </c>
      <c r="BO3" t="str">
        <f>+PAGOS!F8</f>
        <v xml:space="preserve">Revisado en el Sistema ekogui, 27-08-2021, al solicitar la generación del Informe señala que "No se encontró información"  </v>
      </c>
      <c r="BP3">
        <f>'Resumen general'!B23</f>
        <v>0</v>
      </c>
    </row>
    <row r="12" spans="1:68" x14ac:dyDescent="0.25">
      <c r="A12" t="s">
        <v>38</v>
      </c>
      <c r="B12" t="s">
        <v>15</v>
      </c>
      <c r="C12" t="s">
        <v>16</v>
      </c>
      <c r="D12" t="s">
        <v>6</v>
      </c>
      <c r="E12" t="s">
        <v>7</v>
      </c>
      <c r="F12" t="s">
        <v>17</v>
      </c>
      <c r="G12" t="s">
        <v>87</v>
      </c>
    </row>
    <row r="13" spans="1:68" x14ac:dyDescent="0.25">
      <c r="A13" t="str">
        <f t="shared" ref="A13:A18" si="0">$A$3</f>
        <v>INSTITUTO NACIONAL DE VIGILANCIA DE MEDICAMENTOS Y ALIMENTOS</v>
      </c>
      <c r="B13" t="s">
        <v>0</v>
      </c>
      <c r="C13" t="str">
        <f>USUARIOS!C12</f>
        <v>Si</v>
      </c>
      <c r="D13">
        <f>USUARIOS!D12</f>
        <v>43720</v>
      </c>
      <c r="E13" t="str">
        <f>USUARIOS!E12</f>
        <v>MARLON SIMON ORTEGA ORDOSGOITIA</v>
      </c>
      <c r="F13">
        <f>USUARIOS!F12</f>
        <v>43720</v>
      </c>
      <c r="G13" t="str">
        <f>USUARIOS!G12</f>
        <v/>
      </c>
    </row>
    <row r="14" spans="1:68" x14ac:dyDescent="0.25">
      <c r="A14" t="str">
        <f t="shared" si="0"/>
        <v>INSTITUTO NACIONAL DE VIGILANCIA DE MEDICAMENTOS Y ALIMENTOS</v>
      </c>
      <c r="B14" t="s">
        <v>1</v>
      </c>
      <c r="C14" t="str">
        <f>USUARIOS!C13</f>
        <v>Si</v>
      </c>
      <c r="D14">
        <f>USUARIOS!D13</f>
        <v>43717</v>
      </c>
      <c r="E14" t="str">
        <f>USUARIOS!E13</f>
        <v>MELISSA TRIANA LUNA</v>
      </c>
      <c r="F14">
        <f>USUARIOS!F13</f>
        <v>0</v>
      </c>
      <c r="G14" t="str">
        <f>USUARIOS!G13</f>
        <v>DESACTUALIZADO</v>
      </c>
    </row>
    <row r="15" spans="1:68" x14ac:dyDescent="0.25">
      <c r="A15" t="str">
        <f t="shared" si="0"/>
        <v>INSTITUTO NACIONAL DE VIGILANCIA DE MEDICAMENTOS Y ALIMENTOS</v>
      </c>
      <c r="B15" t="s">
        <v>2</v>
      </c>
      <c r="C15" t="str">
        <f>USUARIOS!C14</f>
        <v>Si</v>
      </c>
      <c r="D15">
        <f>USUARIOS!D14</f>
        <v>43720</v>
      </c>
      <c r="E15" t="str">
        <f>USUARIOS!E14</f>
        <v>VICTOR MANUEL MOTTA PATIÑO</v>
      </c>
      <c r="F15">
        <f>USUARIOS!F14</f>
        <v>43720</v>
      </c>
      <c r="G15" t="str">
        <f>USUARIOS!G14</f>
        <v/>
      </c>
    </row>
    <row r="16" spans="1:68" x14ac:dyDescent="0.25">
      <c r="A16" t="str">
        <f t="shared" si="0"/>
        <v>INSTITUTO NACIONAL DE VIGILANCIA DE MEDICAMENTOS Y ALIMENTOS</v>
      </c>
      <c r="B16" t="s">
        <v>3</v>
      </c>
      <c r="C16" t="str">
        <f>USUARIOS!C15</f>
        <v>Si</v>
      </c>
      <c r="D16">
        <f>USUARIOS!D15</f>
        <v>42198</v>
      </c>
      <c r="E16" t="str">
        <f>USUARIOS!E15</f>
        <v>NORMA CONSTANZA GARCIA RAMIREZ</v>
      </c>
      <c r="F16">
        <f>USUARIOS!F15</f>
        <v>44243</v>
      </c>
      <c r="G16" t="str">
        <f>USUARIOS!G15</f>
        <v/>
      </c>
    </row>
    <row r="17" spans="1:7" x14ac:dyDescent="0.25">
      <c r="A17" t="str">
        <f t="shared" si="0"/>
        <v>INSTITUTO NACIONAL DE VIGILANCIA DE MEDICAMENTOS Y ALIMENTOS</v>
      </c>
      <c r="B17" t="s">
        <v>4</v>
      </c>
      <c r="C17" t="str">
        <f>USUARIOS!C16</f>
        <v>No</v>
      </c>
      <c r="D17">
        <f>USUARIOS!D16</f>
        <v>0</v>
      </c>
      <c r="E17">
        <f>USUARIOS!E16</f>
        <v>0</v>
      </c>
      <c r="F17">
        <f>USUARIOS!F16</f>
        <v>0</v>
      </c>
      <c r="G17" t="str">
        <f>USUARIOS!G16</f>
        <v/>
      </c>
    </row>
    <row r="18" spans="1:7" x14ac:dyDescent="0.25">
      <c r="A18" t="str">
        <f t="shared" si="0"/>
        <v>INSTITUTO NACIONAL DE VIGILANCIA DE MEDICAMENTOS Y ALIMENTOS</v>
      </c>
      <c r="B18" t="s">
        <v>5</v>
      </c>
      <c r="C18" t="str">
        <f>USUARIOS!C17</f>
        <v>Si</v>
      </c>
      <c r="D18">
        <f>USUARIOS!D17</f>
        <v>43884</v>
      </c>
      <c r="E18" t="str">
        <f>USUARIOS!E17</f>
        <v>ANA MARIA SANTANA PUENTES</v>
      </c>
      <c r="F18">
        <f>USUARIOS!F17</f>
        <v>43884</v>
      </c>
      <c r="G18" t="str">
        <f>USUARIOS!G17</f>
        <v/>
      </c>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Principal</vt:lpstr>
      <vt:lpstr>USUARIOS</vt:lpstr>
      <vt:lpstr>ABOGADOS</vt:lpstr>
      <vt:lpstr>JUDICIALES</vt:lpstr>
      <vt:lpstr>PREJUDICIALES</vt:lpstr>
      <vt:lpstr>ARBITRAMENTOS</vt:lpstr>
      <vt:lpstr>PAGOS</vt:lpstr>
      <vt:lpstr>Resumen general</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Olga Lucia Arandia Arandia</cp:lastModifiedBy>
  <dcterms:created xsi:type="dcterms:W3CDTF">2020-06-25T21:16:25Z</dcterms:created>
  <dcterms:modified xsi:type="dcterms:W3CDTF">2023-09-14T17:22:27Z</dcterms:modified>
</cp:coreProperties>
</file>