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P_PYT_PPTO_EST\Banco_Proyec\2015-2018\"/>
    </mc:Choice>
  </mc:AlternateContent>
  <bookViews>
    <workbookView xWindow="0" yWindow="0" windowWidth="21600" windowHeight="9300" activeTab="3"/>
  </bookViews>
  <sheets>
    <sheet name="2015" sheetId="7" r:id="rId1"/>
    <sheet name="2016" sheetId="6" r:id="rId2"/>
    <sheet name="2017" sheetId="8" r:id="rId3"/>
    <sheet name="2018" sheetId="9" r:id="rId4"/>
  </sheets>
  <definedNames>
    <definedName name="_xlnm._FilterDatabase" localSheetId="0" hidden="1">'2015'!$E$5:$AC$5</definedName>
    <definedName name="_xlnm._FilterDatabase" localSheetId="1" hidden="1">'2016'!$E$5:$AD$5</definedName>
    <definedName name="_xlnm._FilterDatabase" localSheetId="3" hidden="1">'2018'!$A$5:$AE$95</definedName>
    <definedName name="_xlnm.Print_Area" localSheetId="1">'2016'!$E$1:$AD$93</definedName>
  </definedNames>
  <calcPr calcId="162913"/>
</workbook>
</file>

<file path=xl/calcChain.xml><?xml version="1.0" encoding="utf-8"?>
<calcChain xmlns="http://schemas.openxmlformats.org/spreadsheetml/2006/main">
  <c r="S63" i="9" l="1"/>
  <c r="S94" i="9" l="1"/>
  <c r="S93" i="9"/>
  <c r="S90" i="9"/>
  <c r="S76" i="9"/>
  <c r="S70" i="9"/>
  <c r="S67" i="9"/>
  <c r="S52" i="9"/>
  <c r="S48" i="9"/>
  <c r="S46" i="9"/>
  <c r="S30" i="9"/>
  <c r="S26" i="9"/>
  <c r="S20" i="9"/>
  <c r="S19" i="9"/>
  <c r="S18" i="9"/>
  <c r="S16" i="9"/>
  <c r="S6" i="9"/>
  <c r="S95" i="9" l="1"/>
  <c r="R95" i="9" l="1"/>
  <c r="R94" i="9"/>
  <c r="R93" i="9"/>
  <c r="R90" i="9"/>
  <c r="R76" i="9"/>
  <c r="R70" i="9"/>
  <c r="R67" i="9"/>
  <c r="R63" i="9"/>
  <c r="R52" i="9"/>
  <c r="R48" i="9"/>
  <c r="R46" i="9"/>
  <c r="R30" i="9"/>
  <c r="R26" i="9"/>
  <c r="R20" i="9"/>
  <c r="R19" i="9"/>
  <c r="R18" i="9"/>
  <c r="R16" i="9"/>
  <c r="R6" i="9"/>
  <c r="Q90" i="9" l="1"/>
  <c r="Q76" i="9"/>
  <c r="Q70" i="9"/>
  <c r="Q67" i="9"/>
  <c r="Q63" i="9"/>
  <c r="Q52" i="9"/>
  <c r="Q48" i="9"/>
  <c r="Q46" i="9"/>
  <c r="Q30" i="9"/>
  <c r="Q26" i="9"/>
  <c r="Q20" i="9"/>
  <c r="Q18" i="9"/>
  <c r="Q19" i="9" l="1"/>
  <c r="Q16" i="9"/>
  <c r="Q6" i="9" l="1"/>
  <c r="Q93" i="9" l="1"/>
  <c r="Q94" i="9"/>
  <c r="Q95" i="9"/>
  <c r="P76" i="9" l="1"/>
  <c r="P48" i="9"/>
  <c r="P19" i="9"/>
  <c r="P95" i="9"/>
  <c r="P94" i="9"/>
  <c r="P93" i="9"/>
  <c r="P90" i="9"/>
  <c r="P70" i="9"/>
  <c r="P67" i="9"/>
  <c r="P63" i="9"/>
  <c r="P52" i="9"/>
  <c r="P46" i="9"/>
  <c r="P30" i="9"/>
  <c r="P26" i="9"/>
  <c r="P20" i="9"/>
  <c r="P18" i="9"/>
  <c r="P16" i="9"/>
  <c r="P6" i="9"/>
  <c r="S32" i="8" l="1"/>
  <c r="S89" i="8" l="1"/>
  <c r="S88" i="8" l="1"/>
  <c r="S84" i="8"/>
  <c r="S77" i="8"/>
  <c r="S72" i="8"/>
  <c r="S70" i="8"/>
  <c r="S66" i="8"/>
  <c r="S53" i="8"/>
  <c r="S47" i="8"/>
  <c r="S45" i="8"/>
  <c r="S28" i="8"/>
  <c r="S23" i="8"/>
  <c r="S22" i="8"/>
  <c r="S20" i="8"/>
  <c r="S16" i="8" l="1"/>
  <c r="S6" i="8"/>
  <c r="R89" i="8" l="1"/>
  <c r="R77" i="8"/>
  <c r="R53" i="8"/>
  <c r="R47" i="8"/>
  <c r="R6" i="8"/>
  <c r="R16" i="8" l="1"/>
  <c r="R32" i="8"/>
  <c r="R70" i="8"/>
  <c r="R88" i="8"/>
  <c r="R84" i="8"/>
  <c r="R72" i="8"/>
  <c r="R66" i="8"/>
  <c r="R45" i="8"/>
  <c r="R28" i="8"/>
  <c r="R23" i="8" l="1"/>
  <c r="R20" i="8"/>
  <c r="Q66" i="8" l="1"/>
  <c r="Q53" i="8" l="1"/>
  <c r="Q16" i="8"/>
  <c r="Q88" i="8" l="1"/>
  <c r="Q84" i="8"/>
  <c r="Q77" i="8"/>
  <c r="Q72" i="8"/>
  <c r="Q70" i="8"/>
  <c r="Q45" i="8"/>
  <c r="Q32" i="8"/>
  <c r="Q28" i="8"/>
  <c r="Q23" i="8"/>
  <c r="Q47" i="8" l="1"/>
  <c r="Q89" i="8"/>
  <c r="Q22" i="8" l="1"/>
  <c r="Q20" i="8"/>
  <c r="Q6" i="8"/>
  <c r="P53" i="8" l="1"/>
  <c r="P89" i="8"/>
  <c r="P88" i="8" l="1"/>
  <c r="P77" i="8"/>
  <c r="P84" i="8"/>
  <c r="P72" i="8"/>
  <c r="P70" i="8" l="1"/>
  <c r="P66" i="8"/>
  <c r="P47" i="8" l="1"/>
  <c r="P45" i="8"/>
  <c r="P32" i="8"/>
  <c r="P28" i="8"/>
  <c r="P23" i="8"/>
  <c r="P22" i="8"/>
  <c r="P20" i="8"/>
  <c r="P16" i="8"/>
  <c r="P6" i="8"/>
  <c r="S94" i="6"/>
  <c r="R94" i="6"/>
  <c r="Q94" i="6"/>
  <c r="P94" i="6"/>
  <c r="S91" i="6"/>
  <c r="R91" i="6"/>
  <c r="Q91" i="6"/>
  <c r="P91" i="6"/>
  <c r="S87" i="6"/>
  <c r="R87" i="6"/>
  <c r="Q87" i="6"/>
  <c r="P87" i="6"/>
  <c r="S83" i="6"/>
  <c r="R83" i="6"/>
  <c r="Q83" i="6"/>
  <c r="P83" i="6"/>
  <c r="S79" i="6"/>
  <c r="R79" i="6"/>
  <c r="Q79" i="6"/>
  <c r="P79" i="6"/>
  <c r="S72" i="6"/>
  <c r="R72" i="6"/>
  <c r="Q72" i="6"/>
  <c r="P72" i="6"/>
  <c r="S68" i="6"/>
  <c r="R68" i="6"/>
  <c r="Q68" i="6"/>
  <c r="P68" i="6"/>
  <c r="S66" i="6"/>
  <c r="R66" i="6"/>
  <c r="Q66" i="6"/>
  <c r="P66" i="6"/>
  <c r="S58" i="6"/>
  <c r="R58" i="6"/>
  <c r="Q58" i="6"/>
  <c r="P58" i="6"/>
  <c r="S52" i="6"/>
  <c r="R52" i="6"/>
  <c r="Q52" i="6"/>
  <c r="P52" i="6"/>
  <c r="S50" i="6"/>
  <c r="R50" i="6"/>
  <c r="Q50" i="6"/>
  <c r="P50" i="6"/>
  <c r="S37" i="6"/>
  <c r="R37" i="6"/>
  <c r="Q37" i="6"/>
  <c r="P37" i="6"/>
  <c r="S33" i="6"/>
  <c r="R33" i="6"/>
  <c r="Q33" i="6"/>
  <c r="P33" i="6"/>
  <c r="S27" i="6"/>
  <c r="R27" i="6"/>
  <c r="Q27" i="6"/>
  <c r="P27" i="6"/>
  <c r="S25" i="6"/>
  <c r="R25" i="6"/>
  <c r="Q25" i="6"/>
  <c r="P25" i="6"/>
  <c r="S23" i="6"/>
  <c r="R23" i="6"/>
  <c r="Q23" i="6"/>
  <c r="P23" i="6"/>
  <c r="S20" i="6"/>
  <c r="R20" i="6"/>
  <c r="Q20" i="6"/>
  <c r="P20" i="6"/>
  <c r="S6" i="6"/>
  <c r="R6" i="6"/>
  <c r="Q6" i="6"/>
  <c r="P6" i="6"/>
  <c r="S83" i="7"/>
  <c r="R83" i="7"/>
  <c r="Q83" i="7"/>
  <c r="P83" i="7"/>
  <c r="S81" i="7"/>
  <c r="R81" i="7"/>
  <c r="Q81" i="7"/>
  <c r="P81" i="7"/>
  <c r="S77" i="7"/>
  <c r="R77" i="7"/>
  <c r="Q77" i="7"/>
  <c r="P77" i="7"/>
  <c r="S73" i="7"/>
  <c r="R73" i="7"/>
  <c r="Q73" i="7"/>
  <c r="P73" i="7"/>
  <c r="S69" i="7"/>
  <c r="R69" i="7"/>
  <c r="Q69" i="7"/>
  <c r="P69" i="7"/>
  <c r="S60" i="7"/>
  <c r="R60" i="7"/>
  <c r="Q60" i="7"/>
  <c r="P60" i="7"/>
  <c r="S54" i="7"/>
  <c r="R54" i="7"/>
  <c r="Q54" i="7"/>
  <c r="P54" i="7"/>
  <c r="S52" i="7"/>
  <c r="R52" i="7"/>
  <c r="Q52" i="7"/>
  <c r="P52" i="7"/>
  <c r="S47" i="7"/>
  <c r="R47" i="7"/>
  <c r="Q47" i="7"/>
  <c r="P47" i="7"/>
  <c r="S44" i="7"/>
  <c r="R44" i="7"/>
  <c r="Q44" i="7"/>
  <c r="P44" i="7"/>
  <c r="S41" i="7"/>
  <c r="R41" i="7"/>
  <c r="Q41" i="7"/>
  <c r="P41" i="7"/>
  <c r="S38" i="7"/>
  <c r="R38" i="7"/>
  <c r="Q38" i="7"/>
  <c r="P38" i="7"/>
  <c r="S36" i="7"/>
  <c r="R36" i="7"/>
  <c r="Q36" i="7"/>
  <c r="P36" i="7"/>
  <c r="S34" i="7"/>
  <c r="R34" i="7"/>
  <c r="Q34" i="7"/>
  <c r="P34" i="7"/>
  <c r="S32" i="7"/>
  <c r="R32" i="7"/>
  <c r="Q32" i="7"/>
  <c r="P32" i="7"/>
  <c r="S30" i="7"/>
  <c r="R30" i="7"/>
  <c r="Q30" i="7"/>
  <c r="P30" i="7"/>
  <c r="S18" i="7"/>
  <c r="R18" i="7"/>
  <c r="Q18" i="7"/>
  <c r="P18" i="7"/>
  <c r="S6" i="7"/>
  <c r="R6" i="7"/>
  <c r="Q6" i="7"/>
  <c r="P6" i="7"/>
</calcChain>
</file>

<file path=xl/sharedStrings.xml><?xml version="1.0" encoding="utf-8"?>
<sst xmlns="http://schemas.openxmlformats.org/spreadsheetml/2006/main" count="1932" uniqueCount="1005">
  <si>
    <t>1.- Fortalecer los mecanismos de Inspección, Vigilancia y Control del INVIMA, en articulación y coordinación  con los sujetos responsables de la vigilancia sanitaria con enfoque de riesgo que contribuyan a la protección y prevención de la salud y al cumplimiento de las políticas de competitividad y desarrollo.</t>
  </si>
  <si>
    <t xml:space="preserve">1. Creación  la red nacional de vigilancia  sanitaria.   </t>
  </si>
  <si>
    <t xml:space="preserve">2. Educación a los actores en materia de vigilancia sanitaria </t>
  </si>
  <si>
    <t>3. Desarrollo de acuerdos y convenios inter-institucionales e inter-gubernamentales de carácter sanitario y técnico científico.</t>
  </si>
  <si>
    <t>Programa nacional de tecnovigilancia</t>
  </si>
  <si>
    <t xml:space="preserve">Programa nacional de vigilancia y control de microorganismos patógenos y calidad microbiológica y físico-química  en alimentos y bebidas. </t>
  </si>
  <si>
    <t>Programa nacional de vigilancia y control de nutrientes de interés en salud pública</t>
  </si>
  <si>
    <t>Programa nacional de vigilancia y control de residuos y contaminantes químicos en alimentos y bebidas.</t>
  </si>
  <si>
    <t xml:space="preserve">Programa nacional de farmacovigilancia </t>
  </si>
  <si>
    <t>Programa nacional  de demuestra de calidad</t>
  </si>
  <si>
    <t>Programa apoyo a la competitividad de la Industria</t>
  </si>
  <si>
    <t>2.- Fomentar y promover la excelencia en la prestación de los servicios, para afianzar la confianza de la población y el reconocimiento nacional e internacional.</t>
  </si>
  <si>
    <t>1. Diseño e implementación de la política institucional de comunicación del riesgo</t>
  </si>
  <si>
    <t>Programa de fortalecimiento sistema de gestión integrado</t>
  </si>
  <si>
    <t xml:space="preserve">2. Fomento a la cultura del servicio y atención al ciudadano </t>
  </si>
  <si>
    <t>3. Consolidación de  la gestión institucional integral por procesos</t>
  </si>
  <si>
    <t xml:space="preserve">5. Unificar criterios técnicos y legales en la operación del INVIMA  </t>
  </si>
  <si>
    <t>Programa de fortalecimiento institucional</t>
  </si>
  <si>
    <t>3.- Implementar modernas tecnologías de información y de comunicación de acuerdo con las necesidades de los usuarios,  directrices del Gobierno y estándares internacionales.</t>
  </si>
  <si>
    <t xml:space="preserve">1. Modernización de las  tecnologías de información </t>
  </si>
  <si>
    <t>2. Seguridad de la información</t>
  </si>
  <si>
    <t xml:space="preserve">3. Interoperabilidad de los sistemas de información sanitaria </t>
  </si>
  <si>
    <t>4.- Fortalecer  la gestión del conocimiento, capacidades, competencias y mejora de la calidad de vida  laboral de los servidores públicos de la institución.</t>
  </si>
  <si>
    <t xml:space="preserve">1. Formación estructurada e integral en vigilancia sanitaria </t>
  </si>
  <si>
    <t xml:space="preserve">3. Fomento de la calidad de vida laboral </t>
  </si>
  <si>
    <t>Programa de mejoramiento de calidad de vida laboral</t>
  </si>
  <si>
    <t>4. Mecanismos de comunicación institucional</t>
  </si>
  <si>
    <t>5.- Aumentar la eficiencia en la gestión  operacional  de los laboratorios del INVIMA y de la red nacional; y los sitios de control de primera barrera.</t>
  </si>
  <si>
    <t xml:space="preserve">1. Competitividad y autosostenibilidad de los laboratorios del INVIMA </t>
  </si>
  <si>
    <t xml:space="preserve">2. Fortalecimiento de la red nacional de laboratorios </t>
  </si>
  <si>
    <t>Gestión Misional y de Gobierno</t>
  </si>
  <si>
    <t>Eficiencia Administrativa</t>
  </si>
  <si>
    <t xml:space="preserve">Fortalecer las competencias de los actores de la vigilancia sanitaria  que contribuya al logro de la misión, visión y objetivos institucionales. </t>
  </si>
  <si>
    <t>Fortalecer las capacidades técnicas y científicas del recurso humano del INVIMA a través de intercambios y proyectos de cooperación internacional con autoridades sanitarias homologas de otros países</t>
  </si>
  <si>
    <t>Fortalecer la protección de la salud y la seguridad de los pacientes, operadores y todas aquellas personas que se vean implicadas directa o indirectamente en la utilización de dispositivos médicos.</t>
  </si>
  <si>
    <t>Realizar la vigilancia post comercialización de los reactivos de diagnóstico in vitro que involucren todo el ciclo de vida de estos productos mediante la identificación de las causas y factores de riesgos asociados con el fin de proteger la salud de todos los colombianos.</t>
  </si>
  <si>
    <t>Diagnosticar la situación de inocuidad de alimentos en relación a la identificación y evaluación de los peligros microbiológicos y físico - químicos asociados con el consumo de alimentos y gestionar los riesgos identificados por  los  alimentos.</t>
  </si>
  <si>
    <t xml:space="preserve">
Generar información que permita tener un diagnóstico respecto al aporte de micro y macro-nutrientes desde alimentos que se comercializan o publicitan con beneficios nutricionales.
</t>
  </si>
  <si>
    <t>Realizar el análisis de riesgos que conlleven a la toma de decisiones que propendan a la inocuidad en la cadena alimentaria y estatus sanitario acorde a las acciones de competencia institucional.</t>
  </si>
  <si>
    <t xml:space="preserve">
Fortalecer los mecanismos de vigilancia para la seguridad, calidad y efectividad de los medicamentos comercializados en el país.
</t>
  </si>
  <si>
    <t>Realizar la autorregulación en el mercado de los productos competencia del Instituto que no cumplen  con estándares técnicos de calidad nacional e internacional.</t>
  </si>
  <si>
    <t>Fortalecimiento de la Inspección, Vigilancia y Control Sanitaria con enfoque de riesgos.</t>
  </si>
  <si>
    <t>Diseñar e implementar  un modelo de Inspección, Vigilancia y Control con enfoque de riesgos  con su correspondiente mapa geo referenciados  basados  en IVC SOA, para puestos, aeropuertos, pasos  de frontera y Entidades Territoriales de  Salud de los productos competencia del Invima.</t>
  </si>
  <si>
    <t>Fortalecer  los procesos  accesibilidad sanitaria y de articulación y  armonización de las normas internacionales (tratados bilaterales y multilaterales), que inciden en el actuar del INVIMA en el orden nacional.</t>
  </si>
  <si>
    <t>Mantener el Sistema de Gestión Integrado con los requerimientos del Instituto</t>
  </si>
  <si>
    <t xml:space="preserve">Contribuir a la gestión  administrativa de la entidad mediante proyectos que logren el fortalecimiento de la institución </t>
  </si>
  <si>
    <t>Contribuir y fortalecer al desarrollo de capacidades y calidad de vida laboral de los empleados del Instituto.</t>
  </si>
  <si>
    <t>Fortalecer las competencias técnicas y sistemas de información  de los laboratorios de Referencia del INVIMA,  de  la Red Nacional  de Laboratorios.</t>
  </si>
  <si>
    <t>4. Desarrollo de programas que mejore la implementación del modelo  de IVC con enfoque de riesgo coordinado e Integrado intrarinstitucional e interinstitucionales</t>
  </si>
  <si>
    <t>4. Oportunidad en la prestación de los servicios del INVIMA.</t>
  </si>
  <si>
    <t>Programa modernización de los sistemas de información actuales del Invima</t>
  </si>
  <si>
    <t xml:space="preserve">2. Gestión del conocimiento institucional
</t>
  </si>
  <si>
    <t>Programa Efectividad tecnica de los laboratorios Nacionales</t>
  </si>
  <si>
    <t>Implementar sistemas de información y plataformas tecnológicas novedosas y  acorde a las necesidades del Instituto, que conlleven a disponer de la información necesaria, confiable, segura y oportuna para la adecuada toma de decisiones.</t>
  </si>
  <si>
    <t>Porgrama de seguimiento e implementación a la estrategia de Gobierno en Línea</t>
  </si>
  <si>
    <t>Ejecutar las metodologías para la mejora continua en la gestión institucional, apoyados en los lineamientos establecidos por la estrategia de gobierno en línea de acuerdo con el decreto 2573 de diciembre de 2014.</t>
  </si>
  <si>
    <t>Difundir conocimientos en temas sanitarios a funcionarios y empleados al servicio de la administración de la justicia colombiana con el fin de fortalecer el mejor entendimiento y aplicación de la normatividad sanitaria vigente.</t>
  </si>
  <si>
    <t>Realizar Capacitaciones a través de ambientes virtuales y Asistencias Técnicas del Programa Nacional de Tecnovigilancia</t>
  </si>
  <si>
    <t xml:space="preserve">Socializar a la comunidad temas relacionados con investigación clínica de medicamentos  </t>
  </si>
  <si>
    <t>Oficina Asesora Juridica</t>
  </si>
  <si>
    <t xml:space="preserve">Dirección de dispositivos Médicos y Otras Tecnologías </t>
  </si>
  <si>
    <t>Dirección de Medicamentos y Productos Biológicos</t>
  </si>
  <si>
    <t>Oficina de Atención al Ciudadano</t>
  </si>
  <si>
    <t>Oficina Asuntos Internacionales</t>
  </si>
  <si>
    <t>Dirección de Dispositivos Médicos 
y Otras Tecnologías</t>
  </si>
  <si>
    <t>Dirección de Alimentos y Bebidas</t>
  </si>
  <si>
    <t>Dirección de Medicamentos y Productos 
Biológicos</t>
  </si>
  <si>
    <t>Dirección De Cosméticos, Aseo, Plaguicidas y Productos De Higiene Domestica</t>
  </si>
  <si>
    <t>Grupo Unidad de Riesgo</t>
  </si>
  <si>
    <t>Dirección General</t>
  </si>
  <si>
    <t>Oficina Asesora de Planeación</t>
  </si>
  <si>
    <t>Secretaria General/Grupo de Talento Humano</t>
  </si>
  <si>
    <t>Secretaria General/Grupo Gestión Administrativa</t>
  </si>
  <si>
    <t>Oficina Tecnologías de la Información</t>
  </si>
  <si>
    <t xml:space="preserve">Oficina de Laboratorios y Control de calidad </t>
  </si>
  <si>
    <t>Realizar monitoreo y vigilancia de los residuos de plaguicidas y metales pesados que pueden estar en los productos hortofrutícolas.</t>
  </si>
  <si>
    <t>Realizar monitoreo y vigilancia de los residuos de plaguicidas y contaminantes químicos que puedan estar presentes en alimentos procesados.</t>
  </si>
  <si>
    <t>Ejercer acciones de vigilancia sanitaria bajo el enfoque de riesgo para los Dispositivos Médicos que se comercializan en el país mediante la verificación de su calidad y seguridad de acuerdo a los estándares técnicos nacionales e internacionales.</t>
  </si>
  <si>
    <t xml:space="preserve">Verificar el cumplimiento de los requisitos de calidad físico-químicos y microbiológicos de los productos comercializados mediante acciones de vigilancia sanitaria bajo el enfoque de riesgo de la dirección de medicamentos y productos biológicos. </t>
  </si>
  <si>
    <t>Implementar y ejecutar el modelo de Inspección, Vigilancia y Control basado en riesgos IVC SOA para los establecimientos objeto de vigilancia del Instituto (II etapa).</t>
  </si>
  <si>
    <t>Unificar las acciones de Inspección, Vigilancia y Control sanitario de alimentos bajo los enfoques de riesgo y preventivo, entre las autoridades sanitarias competentes de la IVC en el sector salud.</t>
  </si>
  <si>
    <t>Adquirir, construir y dotar la infraestructura física de los  laboratorios del Invima.</t>
  </si>
  <si>
    <t xml:space="preserve">Fortalecer los mecanismos de articulación y coordinación entre todos los integrantes de la cadena productiva y los gremios relacionados en la vigilancia sanitaria de productos alimenticios y bebidas del país. </t>
  </si>
  <si>
    <t>Suministrar trámites y servicios a través de medios electrónicos, enfocados a dar solución a las principales necesidades y demandas de los usuarios en general en condiciones de calidad, facilidad de uso y mejoramiento continuo.</t>
  </si>
  <si>
    <t>Fomentar la gestión de una Entidad más transparente, participativa y colaborativa en los asuntos públicos mediante el uso de las Tecnologías de la Información y las Comunicaciones</t>
  </si>
  <si>
    <t>Mejorar la percepción del clima organizacional en los funcionarios al interior del INVIMA.</t>
  </si>
  <si>
    <t>Desarrollar el módulo de Inventario de los laboratorios en Sapiens</t>
  </si>
  <si>
    <t>Programa de cooperación Internacional</t>
  </si>
  <si>
    <t>I Trimestre</t>
  </si>
  <si>
    <t>III Trimestre</t>
  </si>
  <si>
    <t>IV Trimestre</t>
  </si>
  <si>
    <t>Información General de los Proyectos</t>
  </si>
  <si>
    <t>Información Programas</t>
  </si>
  <si>
    <t>Programa de Educación Sanitaria</t>
  </si>
  <si>
    <t>Alineación Estratégica</t>
  </si>
  <si>
    <t>Modelo Integrado de Planeación y Gestión</t>
  </si>
  <si>
    <t>Meta del Cuatrienio</t>
  </si>
  <si>
    <t>Proyecto</t>
  </si>
  <si>
    <t>Objetivo</t>
  </si>
  <si>
    <t>Dependencia</t>
  </si>
  <si>
    <t>II Trimestre</t>
  </si>
  <si>
    <t>Línea Base</t>
  </si>
  <si>
    <t>Nombre del Programa</t>
  </si>
  <si>
    <t>Estrategia Invima</t>
  </si>
  <si>
    <t>Objetivo Estratégico Invima</t>
  </si>
  <si>
    <t>Meta
2015</t>
  </si>
  <si>
    <t>Meta
2016</t>
  </si>
  <si>
    <t>Meta
2017</t>
  </si>
  <si>
    <t>Meta
2018</t>
  </si>
  <si>
    <t>SEGUIMIENTO PLAN ESTRATÉGICO INSTITUCIONAL INVIMA</t>
  </si>
  <si>
    <t>Porcentaje de Avance Acumulado de los Programas Año 2016</t>
  </si>
  <si>
    <t>Descripción de los Avances por Programa Año 2016</t>
  </si>
  <si>
    <t>Porcentaje de Avance Acumulado por Proyecto Año 2016</t>
  </si>
  <si>
    <t xml:space="preserve">1.1. Conversatorio en temas sanitarios a funcionarios y empleados al servicio de la administración de la justicia colombiana  </t>
  </si>
  <si>
    <t>1.2.Actualización del módulo virtual de Reactivovigilancia e inclusión de la unidad Formatos de Reporte de Efectos Indeseados Reactivos de Diagnóstico In Vitro</t>
  </si>
  <si>
    <t>1.3. Educación sanitaria virtual del programa nacional de tecnovigilancia</t>
  </si>
  <si>
    <t> 1.4. Fortalecimiento de la gestión de Riesgo Clínico (capacitación y asistencia técnica en metodología AMFE) en el Programa de Reactivovigilancia, etapa II.</t>
  </si>
  <si>
    <t xml:space="preserve">1.5. Armonización de conceptos técnicos relacionados con  investigación clínica de medicamentos </t>
  </si>
  <si>
    <t>1.6. Vinculación al sistema Colciencias</t>
  </si>
  <si>
    <t> 1.7. Capacitación, entrenamiento y asistencia técnica en temas específicos relacionados con el decreto 1500 de 2007 modificado por el decreto 2270 de 2012 y las resoluciones 240, 241 y 242 de 2013.</t>
  </si>
  <si>
    <t> 1.8. Divulgación de mensajes institucionales a través de la generación de diversas tácticas de comunicación</t>
  </si>
  <si>
    <t> 1.9. Divulgación de mensajes a través de entidades territoriales</t>
  </si>
  <si>
    <t> 1.10. Generar mayor acercamiento con los principales medios de comunicación nacional</t>
  </si>
  <si>
    <t> 1.11. Construcción de una visión compartida sobre lo que es y hace el Invima, con el ánimo de crear sentido de pertenencia " yo soy Invima"</t>
  </si>
  <si>
    <t>  1.12. Escuela de inspectores sanitarios</t>
  </si>
  <si>
    <t>  1.13. Fortalecimiento imagen institucional en ciudadanos vinculados al objeto misional - Conocimiento institucional entre profesionales de la salud y del comercio internacional</t>
  </si>
  <si>
    <t> 1.14. Establecimiento de relaciones externas del modelo de inspección con base en riesgo IVC SOA</t>
  </si>
  <si>
    <t>Actualización del módulo de enseñanza y aprendizaje e-learning del Programa Nacional de Reactivovigilancia e inclusión de la unidad para el manejo de los formatos de reporte de los efectos indeseados.</t>
  </si>
  <si>
    <t xml:space="preserve">Lograr la participación de 8 instituciones prestadoras de servicios de salud en la aplicación de sistema de gestión de riesgo clínico mediante la metodología AMFE  y realizar  seguimiento a las 6 instituciones que fueron objeto de implementación en el año 2015 </t>
  </si>
  <si>
    <t>Contar con una estructura formal de investigación que provea insumos de conocimiento útil para la vigilancia sanitaria</t>
  </si>
  <si>
    <t>Fortalecer los conocimientos en aspectos específicos de la reglamentación sanitaria, Decreto 1500 de 2007 y resoluciones reglamentarias, aplicable en plantas de beneficio, desposte, desprese y expendios, mediante actividades de capacitación, asistencia técnica y socialización, con el fin de que se lleve a la implementación de la nueva normatividad sanitaria por parte de los establecimientos.</t>
  </si>
  <si>
    <t>Sensibilizar a la población sobre la importancia de tener conocimiento sobre el consumo seguro y utilización de productos como los alimentos, medicamentos, dispositivos médicos, cosméticos, a través de diferentes canales de comunicación.</t>
  </si>
  <si>
    <t xml:space="preserve">Gestionar en las entidades territoriales de salud, emisoras comunitarias, federación de municipios y departamentos, espacios de comunicación para divulgar mensajes del Invima en terminos de comunicación del riesgo sanitario y demas temas de interés para la ciudadania. </t>
  </si>
  <si>
    <t xml:space="preserve">Lograr que los medios de comunicación reconozcan y consulten al Invima en su condición de máxima autoridad sanitaria del orden nacional.  </t>
  </si>
  <si>
    <t xml:space="preserve">Generar conciencia y compromiso sobre el rol que cada uno cumple en la entidad  a través de campañas de comunicación creando sentido de pertenencia en los funcionarios de la Entidad. </t>
  </si>
  <si>
    <t>Continuar con el Fortalecimiento de las competencias laborales del recurso humano vinculado al INVIMA, mediante el mejoramiento continuo con el fin de prestar un servicio más eficiente al ciudadano y al Estado, en pro del cumplimiento de la misión y visión institucional.</t>
  </si>
  <si>
    <t>Asegurar un nivel mínimo de información y conocimiento del Invima y su misión entre los profesionales vinculados al éxito de la misma.</t>
  </si>
  <si>
    <t>Vincular el modelo IVC SOA a las fuentes de datos y referencias del Estado en capacidad de aportar información útil para el fortalecimiento del modelo de vigilancia sanitaria</t>
  </si>
  <si>
    <t>2.1. Banco de experiencias de Cooperación y de Buenas Prácticas regulatorias del INVIMA</t>
  </si>
  <si>
    <t>2.2. Estrategia de Cooperación y gestión de proyectos, acuerdos y convenios internacionales</t>
  </si>
  <si>
    <t>2.3. Convenio con OPS - en Negociación</t>
  </si>
  <si>
    <t>Consolidar las experiencias, mejoramientos, aportes de carácter técnico científico y bueno Prácticas del INVIMA, a través de la identificación de las fortalezas institucionales existentes y las generadas de intercambios, lecciones aprendidas y casos de éxito con otros países. este instituto.</t>
  </si>
  <si>
    <t>Implementar un mecanismo que permita establecer el desarrollo de convenios y acuerdo internacionales bajo el enfoque y posicionamiento institucional como agencia sanitaria de referencia</t>
  </si>
  <si>
    <t>Consolidar un convenio con la OPS para apoyar las estrategias regionales de regulación de medicamentos y tecnologías sanitarias, con el fin además de fortalecer el posicionamiento de Invima como Autoridad Sanitaria de Referencia Regional.</t>
  </si>
  <si>
    <t xml:space="preserve">3.1.Desarrollar los protocolos de investigación a Dispositivos Médicos señalizados de difícil trazabilidad para implementar la Vigilancia Intensiva en Colombia a través de la Red Centinela. </t>
  </si>
  <si>
    <t>3.2. Módulos para la notificación y consulta en línea de los reportes inmediatos y trimestrales de eventos e incidentes adversos asociados al uso y trazabilidad de los dispositivos médicos implantables en el país.</t>
  </si>
  <si>
    <t xml:space="preserve">Mantener y potenciar el crecimiento de los Centros Centinelas de la Red Centinela con la Vigilancia Intensiva. </t>
  </si>
  <si>
    <t>Implementar módulos informáticos de notificación ONLINE de eventos e incidentes adversos trimestrales, Recall, Informes de Seguridad, Alertas y Hurtos - RISARH y la trazabilidad de los dispositivos médicos.</t>
  </si>
  <si>
    <t xml:space="preserve">4.1.Actualización del aplicativo Online para los reportes de los efectos indeseados asociados al uso de los reactivos de diagnóstico in vitro </t>
  </si>
  <si>
    <t xml:space="preserve">4.2.Validación de la metodología de señalización (SIGNAL) aplicada a los reactivos de diagnóstico in vitro. </t>
  </si>
  <si>
    <t>Actualización del aplicativo Online para los reportes de efectos indeseados asociados al uso de los reactivos de diagnóstico In vitro, de acuerdo a la codificación y términos planteados en la NTC 5736:2009.</t>
  </si>
  <si>
    <t xml:space="preserve">Validación de la metodología SIGNAL aplicada a los reactivos de diagnóstico In vitro, mediante el uso de un número creciente de reportes de efectos indeseados. </t>
  </si>
  <si>
    <t>5.1. Proyecto de Monitoreo de Microorganismos Patógenos e Indicadores. 2015</t>
  </si>
  <si>
    <t>5.2. Proyecto de Verificación Oficial 2015</t>
  </si>
  <si>
    <t>5.4 Detección y tipificación de Trichinella spp. En canales de la especie porcina. (Proyecto de Triquinella en Carne de Cerdo)</t>
  </si>
  <si>
    <t xml:space="preserve">5.5. Desarrollo de una propuesta de lineamientos técnicos para la definición e implementación de los Criterios de Control de Proceso y Estándares de Desempeño requeridos para la verificación microbiológica en plantas de beneficio animal de las especies bovina, porcina y aves y productos cárnicos comestibles, establecida en la Resolución 2690 de 2015.   </t>
  </si>
  <si>
    <t> 5.6 Monitoreo de Microorganismos Patógenos e Indicadores 2016</t>
  </si>
  <si>
    <t xml:space="preserve">5.3, Verificación Oficial 2016 </t>
  </si>
  <si>
    <t>Estimar a nivel nacional, la prevalencia de Trichinella spp.  en canales de la especie porcina  en plantas de beneficio animal, inscritas y vigiladas por el Invima para el periodo 2016.</t>
  </si>
  <si>
    <t xml:space="preserve">Verificar el cumplimiento Normativo en diez (matrices de Alimentos) : Pesca control oficial, Quesos, Agua envasada, Totas, Derivados Cárnicos, panelas, Leche en polvo, Bebidas energizantes, Bebidas Alcohólicas y productos de la pesca </t>
  </si>
  <si>
    <t>Mejorar el Sistema de IVC de carne y productos cárnicos comestibles y contribuir a reducir los riesgos para la salud pública mediante la formulación e implementación de criterios microbiológicos y estándares de desempeño que definan la aceptabilidad de los procesos.</t>
  </si>
  <si>
    <t>6.1. Proyecto de monitoreo del contenido de nutrientes presentados en las tablas nutricionales y sujetos a declaraciones nutricionales o de salud en los alimentos.</t>
  </si>
  <si>
    <t>6.2. Proyecto de Verificación Oficial de Alimentos Fortificados con Micro- nutrientes y control del contenido de Macro/micro-nutrientes, por Política Nacional.</t>
  </si>
  <si>
    <t>6.3. Proyecto de monitoreo del contenido de nutrientes presentados en las tablas nutricionales y sujetos a declaraciones nutricionales o de salud en los alimentos. 2016</t>
  </si>
  <si>
    <t>6.4. Proyecto de Verificación Oficial de Alimentos Fortificados y control de grasas trns y saturadas por Política Nacional. 2016</t>
  </si>
  <si>
    <t xml:space="preserve">Verificar el cumplimiento Normativo en tres (matrices de Alimentos) : Harina de Trigo, Sal y Pasabocas extruidos </t>
  </si>
  <si>
    <t>7.1. Vigilancia de residuos de plaguicidas y metales pesados en productos hortofrutícolas.</t>
  </si>
  <si>
    <t>7.2. Vigilancia de residuos de medicamentos veterinarios, plaguicidas y contaminantes químicos en productos de origen animal.</t>
  </si>
  <si>
    <t>7.3. Vigilancia de Residuos de contaminantes químicos (acrilamida) en alimentos procesados. 2015</t>
  </si>
  <si>
    <t>7.4. Vigilancia de residuos de plaguicidas y metales pesados en productos hortofrutícolas - (Cadmio en Cacao). 2016</t>
  </si>
  <si>
    <t>7.5. Vigilancia de residuos de medicamentos veterinarios, plaguicidas y contaminantes químicos en productos de origen animal.  (Leche Cruda-Bovinos-Porcinos-Aves) 2016</t>
  </si>
  <si>
    <t>7.6. Vigilancia de Residuos de contaminantes químicos (acrilamida) en alimentos procesados. 2016</t>
  </si>
  <si>
    <t>7.7. Vigilancia de niveles de mercurio total en productos de la pesca.</t>
  </si>
  <si>
    <t>7.8. Vigilancia de niveles de metilmercurio en productos de la pesca por correlación a mercurio total.</t>
  </si>
  <si>
    <t>7.9. Vigilancia de migración de sustancias químicas de envases que  entran en contacto con alimentos y bebidas.</t>
  </si>
  <si>
    <t>7.10. Vigilancia de hidrocarburos aromáticos policíclicos en alimentos.</t>
  </si>
  <si>
    <t>7.11. Vigilancia de micotoxinas en alimentos procesados (cereales).</t>
  </si>
  <si>
    <t>7.12. Vigilancia de Organismos Genéticamente Modificados en cereales: Maíz, Soya y sus derivados y productos de agricultura orgánica.</t>
  </si>
  <si>
    <t>7.13. Vigilancia y control de residuos de medicamentos veterinarios y contaminantes químicos en productos de Acuicultura.</t>
  </si>
  <si>
    <t>Realizar monitoreo y vigilancia de los residuos de medicamentos veterinarios, plaguicidas y contaminantes químicos que puedan estar presentes en productos de origen animal para el consumo humano.</t>
  </si>
  <si>
    <t>Realizar monitoreo y vigilancia de contaminantes químicos que puedan estar presentes en alimentos procesados.</t>
  </si>
  <si>
    <t>Realizar estudio de  medición de niveles de mercurio total en especies de mayor consumo en el país.</t>
  </si>
  <si>
    <t>Realizar estudio de correlación de metilmercurio y mercurio total para la estimación del contenido de metilmercurio en especies de mayor consumo en el país: bocachico, bagre, mota, atún y otras especies.</t>
  </si>
  <si>
    <t>Realizar monitoreo y vigilancia de hidrocarburos aromáticos policíclicos que puedan estar presentes en alimentos para consumo humano.</t>
  </si>
  <si>
    <t>Realizar estudio de presencia de OGM y eventos prohibidos en alimentos de mayor consumo.</t>
  </si>
  <si>
    <t>8.1.Reporte en linea del Programa Nacional de Farmacovigilancia</t>
  </si>
  <si>
    <t xml:space="preserve">8.2. Conformación de Nodos Focales para  la red Nacional de Farmacovigilancia </t>
  </si>
  <si>
    <t>Conformar los Nodos Focales de Farmacovigilancia</t>
  </si>
  <si>
    <t>9.1. Demuestra la Calidad de Productos competencia de la Dirección de Cosméticos, Aseo, Plaguicidas y Productos de Higiene Doméstica</t>
  </si>
  <si>
    <t>9.2. Demuestra de la calidad de Dispositivos Médicos.</t>
  </si>
  <si>
    <t>9.3. Demuestra la Calidad de Medicamentos y Productos Biológicos.</t>
  </si>
  <si>
    <t>9.4. Demuestra la Calidad de Productos competencia de la Dirección de Cosméticos, Aseo, Plaguicidas y Productos de Higiene Doméstica 2016</t>
  </si>
  <si>
    <t>9.5. Demuestra de la calidad de Dispositivos Médicos 2016</t>
  </si>
  <si>
    <t>9.6. Demuestra la Calidad de Medicamentos y Productos Biológicos 2016</t>
  </si>
  <si>
    <t>Desarrollar el programa de vigilancia post-comercialización para verificar la calidad de los medicamentos y suplementos dietarios en el marco del Sistema Nacional de Vigilancia Sanitaria.</t>
  </si>
  <si>
    <t>10.1. Implementación del Modelo de Inspección, Vigilancia y Control  basado en riesgos IVC- SOA.</t>
  </si>
  <si>
    <t>10.2. Implementación del Modelo de Inspección, Vigilancia y Control  basado en riesgos IVC- SOA  - Desarrollo de Interfaces. 2016</t>
  </si>
  <si>
    <t>10.3. Calibración e implementación del modelo de Inspección, Vigilancia y Control con enfoque de riesgos para las Entidades Territoriales de Salud</t>
  </si>
  <si>
    <t>10.4. Diseño e Implementación del modelo de Inspección, Vigilancia y Control con enfoque de riesgos para para puertos, aeropuertos y pasos de frontera</t>
  </si>
  <si>
    <t>10.5. Reporte Regular de Información de Establecimientos para la Vigilancia Sanitaria</t>
  </si>
  <si>
    <t>10.6. Articulación y coordinación de la vigilancia sanitaria con enfoque de riesgos en las Entidades Territoriales de Salud. - Circular 046</t>
  </si>
  <si>
    <t>10.7. Fortalecimiento del proceso de evaluación técnica y sanitaria en materia de expedición de registros sanitarios y trámites asociados de dispositivos médicos.</t>
  </si>
  <si>
    <t>Sistematización de las fuentes de información (interfaces) del modelo de Inspección, Vigilancia y Control basado en riesgos IVC SOA para los establecimientos objeto de vigilancia del Instituto. Las fuentes de información del Modelo son: Visitas de IVC, Programas especiales (fármaco-vigilancia, tecno-vigilancia, riesgos químicos alimentos, microbiológico Alimentos), Alertas Sanitarias, Resultados de Laboratorio, Medidas y Sanciones Sanitarias, Certificaciones BPx, Registro y PQR- Denuncias.</t>
  </si>
  <si>
    <t>Implementar el modelo de inspección, vigilancia y control con enfoque de riesgos para las Entidades Territoriales de Salud</t>
  </si>
  <si>
    <t xml:space="preserve">Diseñar e Implementar el modelo de Inspección, Vigilancia y Control con enfoque de riesgos para para puertos, aeropuertos y pasos de frontera </t>
  </si>
  <si>
    <t>Contar con información relevante de los establecimientos para ejercer una vigilancia sanitaria preventiva.</t>
  </si>
  <si>
    <t xml:space="preserve">Evaluar la publicidad allegada al Instituto de los productos objeto de inspección, vigilancia y control de la Dirección de Alimentos y Bebidas  </t>
  </si>
  <si>
    <t>11.1. Estrategia para el apoyo a la industria colombiana en el acceso sanitario y aprovechamiento de mercados internacionales de interés.</t>
  </si>
  <si>
    <t>Realizar a través de una gestión articulada entre el INVIMA, autoridades nacionales e internacionales competentes, gremios e industria, acciones que promuevan resultados en el acceso sanitario y aprovechamiento de mercados internacionales.</t>
  </si>
  <si>
    <t>Consolidar y unificar el sistema nacional de control para inocuidad de alimentos para consumo nacional con el fin de apoyar los procesos de exportación bajo un enfoque de riesgo</t>
  </si>
  <si>
    <t>12.1. Implementación del Sistema de Gestión Ambiental en el INVIMA</t>
  </si>
  <si>
    <t>12.2. Modelo de atención al ciudadano Invima.</t>
  </si>
  <si>
    <t>12.3. Fortalecimiento del Proceso de Adquisición de Bienes y Servicios</t>
  </si>
  <si>
    <t>Desarrollar las acciones requeridas para el fortalecimiento del proceso de adquisición de bienes y servicios del INVIMA.</t>
  </si>
  <si>
    <t>Implementar los requisitos de la norma técnica ISO 14001:2015 para el Sistema de Gestión Ambiental SGA, que permita identificar y controlar los aspectos ambientales significativos generados de las actividades propias del INVIMA</t>
  </si>
  <si>
    <t>Adaptar el Sistema de Gestión Integrado del INVIMA, a la nueva versión NTC ISO 9001:2015, para obtener la certificación del sistema en el año 2016</t>
  </si>
  <si>
    <t xml:space="preserve">Ejecutar acciones para fortalecimiento de la prestación de servicio institucional que se ajuste a las necesidades del público objetivo del el Invima. </t>
  </si>
  <si>
    <t>13.1. Fortalecimiento y adecuación de la infraestructura de los Laboratorios del Invima.</t>
  </si>
  <si>
    <t>13.2. Estudios y diseños para la construcción de los laboratorios del Invima</t>
  </si>
  <si>
    <t xml:space="preserve">Diseñar e Implementar la herramienta de medición,consolidación y reporte de la información de la gestión Invima. </t>
  </si>
  <si>
    <t xml:space="preserve">Dotación de la infraestructura física para las nuevas sedes administrativas  de los GTT en las diferentes regiones  del País </t>
  </si>
  <si>
    <t>Estudios y diseños para los laboratorios CELTA</t>
  </si>
  <si>
    <t>Fortalecer la gestión documental del invima, en tecnologia e infraestructura.</t>
  </si>
  <si>
    <t>linear la reglamentación sanitaria, específicamente la Resolución 719 de 2015, a los direccionamientos técnicos internacionales relacionados con la clasificación de alimentos según el riesgo, teniendo en cuenta que como país integrante de la OMC los reglamentos técnicos que se expiden deben ajustarse a los principios de los Acuerdos de Medidas Sanitarias y Fitosanitarias - MSF y Obstáculos Técnicos al Comercio - OTC, de manera que se proteja la salud de los consumidores, la industria nacional y permita el acceso a mercados internacionales, consolidando al país, a través del INVIMA, como referente sanitario internacional.</t>
  </si>
  <si>
    <t>14.1. Integración de nuevas soluciones informáticas, acorde a las necesidades del Instituto 2016</t>
  </si>
  <si>
    <t>14.2. Implementación de la estrategia de inteligencia de negocios en la entidad 2016</t>
  </si>
  <si>
    <t>14.3. Actualización de las plataformas tecnológicas y de comunicaciones, acorde a los requerimientos identificados por el Instituto</t>
  </si>
  <si>
    <t>14.4. Proyecto Procesos y Tecnología – PPT (Automatización de procesos)</t>
  </si>
  <si>
    <t xml:space="preserve">Diseñar, desarrollar e implementar la automatización de los procesos en el marco de las funciones del INVIMA en la suite BPM/SOA Oracle.  </t>
  </si>
  <si>
    <t>Integrar a las soluciones informáticas, tecnologías de apoyo, que faciliten y optimicen su uso.</t>
  </si>
  <si>
    <t>Diseñar, crear e implementar un Datamart (bodega de datos), aplicado al sistema de información de Registros Sanitarios.</t>
  </si>
  <si>
    <t>Adquirir y renovar la infraestructura tecnológica y licenciamiento necesario, a través de la gestión de la Oficina de Tecnologías de la Información del INVIMA.</t>
  </si>
  <si>
    <t>15.1. Implementación del uso de las tecnologías de la información para trámites y servicios a través de medios electrónicos año 2016</t>
  </si>
  <si>
    <t>15.2. Implementación de las actividades de transparencia, participación y colaboración en los asuntos públicos, mediante el uso de las tecnologías de la información y las comunicaciones para un gobierno abierto</t>
  </si>
  <si>
    <t>15.3. Implementación de las tecnologías de la información para  la gestión  y eficiencia administrativa  institucional</t>
  </si>
  <si>
    <t>15.4. Implementación fase II del sistema de gestión de seguridad y privacidad de la información en el Invima 2016</t>
  </si>
  <si>
    <t>Implementar las prácticas determinadas por parte del MinTIC para la planificación, gobierno y gestión de las Tecnologías de la Información en el Instituto, alineadas con la Planeación Estratégica Institucional y los requisitos de Arquitectura Empresarial para TI.</t>
  </si>
  <si>
    <t>Implementar el sistema de gestión de seguridad y privacidad de la información para la institución</t>
  </si>
  <si>
    <t>16.1. Capacitación y actualización de los conocimientos del recurso humano del Invima a nivel nacional</t>
  </si>
  <si>
    <t>16.3. Intervencion de Clima Organizacional.</t>
  </si>
  <si>
    <t>16.4 Entrenamiento para inspectores de la autoridad sanitaria 2016</t>
  </si>
  <si>
    <t>Implementar un programa de formación y capacitación a servidores públicos vinculados al INVIMA mediante la actualización permanente del conocimiento buscando el mejoramiento continuo y el servicio.</t>
  </si>
  <si>
    <t>17.1. Diagnostico de la Capacidad Analítica de la Oficina de Laboratorios y Control de Calidad</t>
  </si>
  <si>
    <t>17.2. Sistema de información de los procesos de análisis  de los Laboratorios Nacionales de Referencia  Invima – Desarrollo del módulo de Inventario de los laboratorios en Sapiens</t>
  </si>
  <si>
    <t>17.3. Investigación en el control de calidad de dispositivos médicos con enfoque de riesgo.</t>
  </si>
  <si>
    <t>Determinar la capacidad analítica y tiempo de respuesta estimado para las 28 metodologias seleccionadas en los   3 grupos de laboratorio de la OLCC, para garantizar el cumplimiento de los requerimientos misionales del instituto</t>
  </si>
  <si>
    <t>Realizar la investigación en ensayos de control de calidad de dispositivos médicos que permitan identificar   las posibles causas que generan eventos o incidentes adversos en salud pública</t>
  </si>
  <si>
    <t xml:space="preserve">Direccion General </t>
  </si>
  <si>
    <t>Secretaria General</t>
  </si>
  <si>
    <t>Direccion de Alimentos Y Bebidas</t>
  </si>
  <si>
    <t>Direccion de Alimentos y bebidas</t>
  </si>
  <si>
    <t>Direccion general</t>
  </si>
  <si>
    <t xml:space="preserve">Verificar con base en reportes analíticos el cumplimiento de los requisitos legales y parámetros establecidos para los alimentos y bebidas. </t>
  </si>
  <si>
    <t xml:space="preserve">Realizar estudios exploratorios para diagnosticarla situación acerca del aporte de micro y macro-nutrientes en los alimentos que se comercializan o publicitan con beneficios nutricionales </t>
  </si>
  <si>
    <t>Determinar los niveles de residuos de medicamentos veterinarios y contaminantes químicos en productos de acuicultura.</t>
  </si>
  <si>
    <t>Comprobar a través de muestreos aleatorios, el cumplimiento de condiciones de calidad y seguridad de los productos competencia de la Dirección que se están comercializando dentro del país, en el marco del Sistema Nacional de Vigilancia Sanitaria</t>
  </si>
  <si>
    <t>Fortalecer el proceso de evaluación técnica y sanitaria en materia de expedición de registros sanitarios y trámites asociados de dispositivos médicos.</t>
  </si>
  <si>
    <t>Continuar con el Fortalecimiento de las competencias laborales del recurso humano vinculado al INVIMA, mediante el mejoramiento continuo con el fin de prestar un servicio más eficiente al ciudadano y al Estado, en pro del cumplimiento de la misión y visión institcional</t>
  </si>
  <si>
    <t xml:space="preserve">
5.1.  El avance del proyecto vigencia 2015 en las fases de Analisis de muestras, datos e información de un total de 2,254 muestras se han realizado 2,111 equivalente al  93,66% quedando pendiente la realización del Informe de resultados de las muestras tomadas y la presentación oficial de los resultados. Para la vigencia 2016 el proyecto fué revisado y consolidado en la formulación de la  hojas de vida y cronogramas de realización que permitan su ejecución en la presente vigencia. </t>
  </si>
  <si>
    <t xml:space="preserve">
5.2. El proyecto se encuentra en su etapa final con la realización del Informe y la presentación de resultados de un total de 2, 324 muestras programadas se recolectaron 2,263  con un porcentaje de cumplimiento del 97,38% quedando pendiente el informe final de los resultados obtenidos . En tal sentido se recomendo solicitar un control de cambios a las fechas de los mismos aduciendo demoras en los analisis que realizan la Oficina de Laboratorios y Control de Calidad. Para la vigencia 2016 el proyecto fué revisado y consolidado en la formulación de la  hojas de vida y cronogramas de realización que permitan su ejecución en la presente vigencia. </t>
  </si>
  <si>
    <t xml:space="preserve">
5.3. El proyecto de " Detección y tipificación de Trichinella spp. en canales de la especie porcina. (Proyecto de Triquinella en Carne de Cerdo)" fue revisado en toda su totalidad con el fin consolidar la hoja de vida y cronograma  de las diferentes fases propuestas   para su realización, el cual quedo totalmente definido para la presente vigencia.</t>
  </si>
  <si>
    <t xml:space="preserve">
5.4. El proyecto se e reviso en su conceptualización de la hoja de vida  en todo su contexto y se procedió a  ajustar la fechas de las diferentes actividades programadas dentro de las diferentes fases del proyecto dentro del cronograma  que permita su realización previa concertación con el lider del proyecto. </t>
  </si>
  <si>
    <t xml:space="preserve">9.1. El desarrollo de la actividad Entrega resultados de la toma de muestras por parte del Laboratorio, se han recibido en   la Dirección de Cosméticos, Aseo, Palguicidas y Productos de Higiene Dómestica 39 muestras  de las 65 remitidas finalmente (Jabones de Higiene Intima: 21, Cosméticos contorno de ojos: 18, Shampoo anticaspa: 16, Repelente Insectos: 10) de las 72 que se programaron inicialmente concertadas entre la Direccion de Cosméticos y la Oficina de laboratorios mediante acta 01 de Febrero 4 de 2015.
La toma de muestras se realiza en nueve ciudades seleccionadas al azar entre las cuales encontramos: Bogotá, Medellin, Bucaramanga, Monteria, Pereira, Cali, Neiva, Popayán, Barranquilla.
Se evidencia informe analítico  remitido por el Laboratorio, en donde se hace entrega de los resultados de las muestras analizadas, con el #  de la muestra, el análisis de la misma de acuredo a la resolución 1482 de 2012
Para la ultima actividad de la fase de Cierre todavía está pendiente el análisis de las últimas 26 muestras, las cuales no han sido reportadas por el Laboratorio, se evidencia documento con  los resultados de las 39 muestras analizadas hasta el momento.
9.2. Acta de reunión  #1 del 21 de Enero de 2016,cerrando el proyecto  de Demuestra de la Calidad en Dispositios Médiicos para la vigencia 2015. Se realió reunión entre la Dirección de Dispositivos Médicos, la Dirección de Operaciones Sanitarias  y el Grupo de Laboratorio Fisicomecánico de Dispositivos Médicos y Otras Tecnologías, en donde se trataron entre otras temas: Resultados del proyecto de la vigencia 2015, y Proyectados par ala vigencia 2016,y se evidencia informe final  de consolidado de productos generales del proyecto   2015.Informe consolidado de Resultados del Proyecto.
9.3. El proyecto se encuentra ya en su fase final con un porcentaje de avance del 94%, ,se evidencia documentacion escaneada por parte del laboratorio de las 320 muestras que ya han sido analizadas, donde se registra: número de muestra, clase de muestra, número de lote, registro Sanitarion del medicamento.
Producto de los entregables de la actividad -Analizar el informe analítico de los resultados de calidad de las  muestras de retención por parte del  laboratorio del Invima, se evidencia documentos con certificados de análisis de calidad de los medicamentos con actas por parte de la Secretaria de Salud , donde se registra, fechas, No. de Registro de medicamentos, nombre del Laboratorio, cantidade de muestras y el numero de Lote.
Correo electrónico fechado del  5 de abril de 2016  dirigido a la Dra.  Luz Helena  Franco Chaparro Directora de la Dirección de Medicamentos y Productos Biológicos con el reporte prelimianar  del informe.
9.4. En el desarrollo de la fase de Diagnóstico y  Planificación del Proyecto  se llevó  a cabo reunión con la Oficina de Laboratorios el día 22 de Octubre de 2015 (Acta # 5), y alli se definió las necesidades y la cantidad de muestras a tomar  a saber:
-Análisis microbiológico, cremas para manos y cuerpo (20 muestras).
-Cosméticos para niños (20 muestras).
-Repelentes de insectos activo Ethyl Butylacetylaminopropionate  (12 muestras).
-Enjuagues bucales para determinarf activo flúor (15 muestras).
Dando como resultado una cantidad de 67 muestras evaluadas, las cuales son enviadas al Laboratorios de Invima, es importante resaltar que para el caso de cosméticos no existe una norma de referencia cOmo por ejemplo en Medicamentos Farmacopeas internacionales, lo cual impide que se pueda desarrollar una metodología de evaluación en forma general.
 Se evidencia cronograma con las ciudades donde se va a hacer el muestreo y la definición de cada grupo.
Se hace relación mediante oficio a Laboratorios, con las muestras tomadas, referenciadas en las diferentes ciudades, se hace revisión del etiquetado de las muestras tomadas de cosméticos estipulado en el artículo 18 de la decisión 516 de 2002, se toman fotos a las muestras.
9.5. En las actividades enmarcadas en la Fase de Diagnóstico y planificación del Proyecto  se observa:
- Elaboración de un documento interno que se realiza entre la Dirección de Dispositivios Médicos, la Dirección de Operaciones Sanitarias y la Oficina de Laboratorios , donde se evidencia plan de trabajo con  la cantidad de muestras que se van a tomar durante el año: (Preservativos: 14 muestras, Jeringas: 11 muestras, Catéteres: 10 muestras, Equipos de Macrogoteo: 10 muestras, Suturas: 8 muestras, para un total de 53 muestras; teniendo en cuenta los Registros Sanitarios con mayor riesgo. Se realiza citación el día 18 de Enero. se deja constancia de la reuníon mediante acta y listado de asistencia del día 21 de Enero de 2016.
Además se evidencia Formato único de programación, donde se da informe a la Dirección de Operaciones Sanitarias que se debe muestrear, el día 2 de Febrero se solicita a Laboratorio que realice la programación de las muestras que puede anzalizar.
En cuanto a elaborar mapa de priorización de muestras por riesgo, se solicita base de datos de Registros Sanitarios, y así poder determinar de acuerdo al Riesgo lo que se va a muestrear.Se evidencia Formato Unico de programación de IVC.
El día 5 de febrero de 2016, se envía mediante correo electrónico al Dr. Javier H. Guzman Carrascal, Director de Operaciones Sanitarias la programación de la toma de muestras, relacionando  los establecimientos sujetos a la toma de muestras, dirección y ciudad respectiva. Se present avance del proyecto de un 8%
-9.6. Matriz de clasificación de riesgos con criterios de Inclusión: Denuncias: Señal por reacciones adversas de Medicamentos por Farmacovigilancia, Fallo terapéutico: análisis previos; y Criterios de Exclusión: Farmacopeico, Bioseguridad de los Funcionarios, se toma de acuerdo a los listados enviados por Farmacovigilancia.
Con esta matriz se determina que principios activos se van a analizar en 2016, mediante correo electrónico fechado  el día 17 de febrero de 2016, se envía documento al Señor Director General para su conocimiento.
Se trabaja en conjunto con la Oficina de Laboratorios, se hace selección  de los reactivos , se evidencia estudios previos con características de estudios primarios.
Se determina tomar 204 muestras de Medicamentos  y 240 muestras de suplementos dietarios, todo se evidencia mediante acta # 02 de Marzo de 2015.
 Elaboración de oficio a las Seccionales Territoriales de Salud para la designación de funcionario en la recolección de muestras  dentro del programa, se evidencia Oficios fechados en Febrero 5 de 2016, firmados por la Dra. Luz Helena Franco Chaparro, Directora de la Dirección de Medicamentos y Productos Biológicos, para las diferentes Secretarias de Salud que pertencen a la toma de muestras (25 departamentos).
</t>
  </si>
  <si>
    <t>10.1.  El informe IVC-SOA con corte a 31 diciembre fue elaborado y enviado a Dirección General.
El proyecto viene ejecutandose desde 2015, se realiza seguimiento a las actividades pendientes donde se evidenció el cumplimiento al 100% en la actividad relacionada al informe de Dic. El modelo IVC-SOA aun se encuentra en pruebas y la actividad relacioada a las interfaces fue incluida en las nuevas iniciativas a ejecutarse en 2016.
10.2. El proyecto será financiado con recursos MINCIT.Una vez sea aprobado el presupuesto se dará incio a la ejecucuión de actividades. El Grupo de Unidad de Riesgos elaboró documentos con las especificaciones requeridas .
10.3. Se ha llevado a cabo seguimiento de las acciones que han desarrollado las entidades territoriales, asimismo se ha establecido agenda con la Dirección de Alimentos con la que se pretende determinar cuantos instrumentos ya han sido aplicados y asi poder calibrar el modelo. Se presentan limitaciones en la ejecución del proyecto dado que los funcionarios-inspectores de las ETS que ejecutan y son quienes proveen los datos no han sido contratados.
10.4. La unidad de Riesgo elaboro documento-guia en el que se definen los requerimientos funcionales del aplicativo IVC Puerto - Alimentos, el cual sirve como insumo para los ingenieros en el momento del desarrollo.
El proyecto será financiado por el convenio de MINCIT.
10.6. El grupo de la Dirección de alimentos se reune y elabora el plan de trabajo a desarrollar durante la vigencia, dentro de las que se resaltan las capacitaciones y asistencias técnicas. Se realiza la prioriación de los departamentos en donde se adelantaran.
Se establece cronograma el cual está sujeto a la disponibilidad de las ETS. En la propuesta inicial estan incluidos los departamentos de:
*Cesar *Guajira *Guainia *Vaupes *Arauca *Buenavenura
A la fecha se han ejecutado actividades en Puerto Inirida, Arauca, Buenaventura, Vaupes, Ibague, Putumayo. Para el mes de mayo se tiene programado Cesar, Cordoba y Valle del cauca (Cali). 
Acta de reunión con el grupo realizada el 08-01-2016.
* Oficio para firma por parte del Director de Alimentos.
* Listas de asistencias.
* Presentaciones en power point.
* Talleres practicos realizados.
* Registros fotográficos como insumo para la realización de los tallere
Diseñar Plan de auditoría a ETS a ser implementado en 2017: cronograma de trabajo en el que se establecen objetivos y actividades a desarrollar para el diseño del plan de auditorias.
Formular estrategia IEC:  informe con los resultados parciales arrojados por la encuesta enviada a las ETS.  Elaboración de cartilla dirigida al consumidor  sobre buenas practicas de manipulación de alimentos en ventas en via publica. 
 Documento con avance del procedimiento.
* Correos electrónicos de entrada y salida relacionados a la encuesta planteada.
* Informe parcial de resultados de encuenta aplicada (tabulación de resultados).
* Documento con avance de guía al vigilado para bebidas artesanales.
* Correos electrónicos relacionados con el diseño del plan de auditorias.
* Propuesta de acta de inicio.
10.7.En reuniones realizadas el pasado 20-01-2016 y 02-02-2016, la dirección de dispositivos médicos y otras tecnologías junto con el IETS (Instituto de Evaluación de Tecnologías Sanitarias), entidad adscrita al Ministerio de Salud y con quien se llevará a cabo el proyecto, han definido las actividades, requisitos fechas y condiciones del mismo.
Registro de reuniones realizadas entre el IETS - Invima (actas)
* Presentación ante el comité de contratación (17-03-2016). (Documento en power point)
* Estudios previos
* Contrato 149 de 2016 (11-04-2016).
* Acta de inicio con fecha del (13-04-2016).
* Primer pago al IETS.</t>
  </si>
  <si>
    <t xml:space="preserve"> 13.4 Estudios y diseños previos de los planos arquitectonicos para las adecuaciones fisicas Sede Monteria, G.T.T.C.C.2 y Neiva, G.T.T.C.O.3 junto con los Estudios y diseños de planos arquitectonicos de mobiliario para la dotación de las sedes del Invima, Monteria y Neiva.
CDP No. 153316 expedido 02/03/2016 para  REALIZAR LAS ADECUACIONES LOCATIVAS REQUERIDAS para el funcionamiento del grupo de trabajo territorial costa caribe 2 del Invima, MONTERIA.
13.5. Se realiza acompañamiento evidenciando un avance del 100% cumpliendo con las fases propuestas en la vigencia del Proyecto y con los objetivos planteados. Se concluye que se pudo implementar una herramienta en la que puedan interactuar la Industria de Alimentos y Bebidas, Gremios, Autoridades Sanitarias,  Sectores de Comercio y Fiscalización Aduanera, a nivel local como internacional Consultando, Inscribiendo y/o Modificando la  información en línea del código de inscripción del establecimiento.  
esta informacion se puede validar en el link https://www.sivirtual.gov.co/memoficha-tramite/-/tramite/T456.
13.6
- estudios previos
- actas, correos electronicos, hojas de vida.
-ajuste de estudios previos por parte del Grupo Adquicisiones y suministros.
13,7.- Documento con el Proyecto formulado en la metodología de la MGA del DNP
-Correcciones con los ajustes realizados en la plataforma MGA del DNP
e evidencian ajustes a los requerimientos del aplicativo SUIFP del DNP con la respectiva inscripcion del proyecto con codigo BPIN  2016011000086 con el nombre Fortalecimiento a la gestión documental del Invima en tecnología e infraestructura a nivel nacional. 
13.8.-Se revisa y evidencia cronograma de trabajo del proyecto.
- Se realiza la revisión del marco estrategico e indicadores que permita identificar las necesidades, prioridades y requerimientos para la medición y recolección de información del Invima.
-Sse evidencia la definicion de los lineamientos para formular el Plan Estadistico Institucional , se llevo a cabo reunion con el DANE con el fin de establecer plan de trabajo y revision de la informacion que actualmente se reporta.
Matriz de indicadores Estratégicos (primera propuesta elaborada).
Matriz de indicadores tacticos (Proyectos ) (primera propuesta elaborada).
Matriz de Inidcadores de resultado Operativos (POA  (primera propuesta elaborada).
listas de asistencia reunion con las dependencias y Direccion General.
 Matriz  con la información estadistica a presentar.
 </t>
  </si>
  <si>
    <t>16.3.El proyecto se desarrollo dentro de los parámetros establecidos en el cronograma de trabajo se evidencia cumplimiento de actividades y evidencias que las soportan.
16.4. Se envió por correo instutucional System Plus la solicitud de remisión de necesidades mediante el PAC a las área del instituto el día 2 de febrero y mediante oficio.
Se evidencia archivo con la matriz de tabulación de las necesidades de capacitación de las áreas clasificada por profesionales y por niveles y las tématicas transversales, técnicas y formación del ser.
Evidencia documento plan de capacitación 2016 y publicación de la resolución No 2016005865 por la cual se adopta este plan.
La presentación y aprobación del plan se encuentra soportada por el acta No 4 del 22 de febrero de 2016.</t>
  </si>
  <si>
    <t>17.1.  Definición de metodologías a evaluar 
         - Solicitud de cotizaciones
         - Entrega de hoja de vida a MINCIT, entregables correspondientes a la primera fase.
17.2.Se ha mantenido comunicación con personal de Sapiens para concertar los requerimientos en el aplicativo de acuerdo a las necesidades de los laboratorios, las cuales fueron estimadas así: Homologación de código en almacén referencia laboratorio, realizar modificación de interfase de almacén para cambiar bodega y reportes de unidades de conversión, para tal efecto la oficina de tecnologías de la información se encuentra liderando el proceso como punto de contacto con el proveedor Sapiens a fin de definir los tiempos establecidos para ejecutar la prueba piloto en producción y teniendo en cuenta este proceso entrar a revisar si cumple con los requirimientos de la OLCC.
17.3. Se han realizado reuniones con la Dirección de Dispositivos Médicos a fin de definir las lineas de trabajo de dispositivos médicos, para lo cual se tiene identificado como productos catetéres, equipos de infusión y suturas.
Se cuenta con revisión bibliografica y se tiene contemplado en el estudio de adquisición de bibliografía.
Se cuenta con estudio mercado en referencia solicitud de cotizaciones a la Universidad Nacional, Universidad Antioquia, Escuela de Ingenieria, Universidad de Andes, en espera de cotizaciones.
Se evidencia ficha técnica de trabajo identificando los productos a entregar por el contratista y borrador de estudio previo del proceso.</t>
  </si>
  <si>
    <t>14,1: se concluye la fase de planeación y se establce cronograma de trabajo para la vigencia 
se desarrollo aplicación para captura de información y generacion de las actas de inspección para alimentos y cárnicos, se ralizarón las  pruebas del aplicativo de IVC y al capturador para visitas de establecimientos de alimentos en bogotá, verificando la funcionalidad de la aplicación. Se encuentra en prueba piloto. 
Desarrollo del aplicativo web  de farmacovigilancia, se encuentra en producción url  http://farmacoweb.invima.gov.co:8282/reportesfv/login/loginUsuario.jsp.
14.2: La primera fase del proyecto se encuentra cumplida al 100%, Se elaboro el plan de trabajo denominado "inteligencia de negocios" con el fin de realizar resolver las preguntas de negocio de registros sanitarios para la alta dirección, para la toma de decisiones, se realizo reunion con el Ministerio de Salud para analizar la viabilidad de georeferenciar 3 nuevos conjuntos de datos:  Entidades Certificadas por el INVIMA: BPM y HACCP, y Bancos de Sangre para la respectiva validación y  georeferenciación.
14.3 La primera fase del proyecto se encuentra cumplida al 100%, El plan de trabajo 2016 se ha llevado a cabo:
Acceso remoto Salas Especializadas a través de cliente delgado.
Se implemento para escritorio remoto para el ingresso al aplicativo sesuite desde cualquier punto externo de la Entidad, para los comisionados externos de la Dirección de Medicamentos, se encuentra en funcionamiento a la fecha de la tutoria, el  Documento Paso a producción se encuentra en construcción.
Balancing server web JBOSS   
Se configuro en alta disponibilidad lo servicios de wildfly, con el fin de soportar el ambiente en el caso que los servicios presenten una falla, el  Documento Paso a producción se encuentra en construcción.
Tratamiento de riesgos - Auditoria SGSI
Se ajustan las reglas en el firewall y en los equipos de seguridad con el fin de garantizar los accesos a los aplicativos web, con lo cual se bloqueron puertos que no se requerian para dicho acceso.
14.4: La primera fase del proyecto se encuentra cumplida al 100%, se han realizado actividades internas para los servicios de "Registro sanitario y trámites asociados" para Medicamentos sintéticos en la modalidad de "Registros nuevos y renovaciones", se 
ajusto el desarrollo BPM del procedimiento de "Recepción de trámites" en el Invima en el proceso de "Atención al ciudadano", se mejoraron los formularios necesarios para recibir la información necesaria para la radicación del trámite de Registro sanitario nuevo o renovaciones no automáticas de medicamentos sintéticos en todas las modalidades</t>
  </si>
  <si>
    <t xml:space="preserve">15.1: Se cumple con la primera fase del proyecto con cumpliiento del 100%, se han realizado activiades como: 
1. estrategias de divulgación y promoción de los trámites y servicios disponibles por medios electrónicos mediante redes sociales.
2.Se diseño y divulgo encuesta de percepción sobre los cambios realizados en la página web y se divulgo mediante pieza grafica invitando a participar en la encuesta se publicó en página web https://docs.google.com/forms/d/1WMcCzglKszc2eUOpxk7KLK6RnhI-IvbgHXHrKJXi3eU/edit?usp=drive_web, esta pendiente  los resultados de dicha consulta. 
3. Se construyo la matriz con los trámites que se van a intervenir para la vigencia 2016 (https://www.invima.gov.co/images/pdf/nuestra-entidad/Gestion/plan-anticorrupcion/a%C3%B1o2016/PLANANTICORRUPCIONYATENCIONALCIUDADANO2016_otra.pdf) y se actualizó la información de tarifas  en el Portal del Estado Colombiano.
15.2: Se cumple con la primera fase del proyecto con cumpliiento del 100%, se han desarrollado actividades como:
Actualización de 128 cinjuntos de datos, se encuentran publicados en el portal del gobierno colombiano www.datos.gov.co.
Revisión y ajuste de calidad de datos del dataset llamado Bancos de sangre.
Promoción y divulgación mediante piezas publicitarias incentivando al usuario a consultar los establecimientos inscritos ante el invima de productos cosméticos y a consultar productos vitales no disponibles a quien el invima otorgo autorización de importación mediante faceboock y twiter.
Actualización de información en página web, se han realizado 949 actualizaciones.
15.3: Se cumple con la primera fase del proyecto con cumplimiento del 100%
Se revisa el documento de marco de referencia que contiene guias para elaboración de cada uno de los catalogos (servicios tecnologicos, componente y servicios de información) con el de identificar los elementos que deben conformar el catologo de servicios tecnologicos del Invima, Se encuentra en proceso de definición de la aplicación de estos elementos en el Instituto. 
Se han realizado actividades mediante diferentes canales con el fin de socializar buenas prácticas y uso eficiente del papel: 
• Lineamiento Directivo No. 1 - Uso racional del consumo de papel en el Invima. 
• Se realiza actualización del Programa Menos papel, ¡Más gestión!”. 
• Boletín Ambientemos con Calidad No. 7-2016. Resultados en consumo de papel 2015 y tips para reducción del papel en las oficinas
• Lanzamiento de los programas Ambientales 2016 “campaña la Ruta del 5”.
• Publicación en la intranet la meta de reducción del consumo de papel en el Invima.
• Envió de Correo electrónico interno sobre “Reducción del consumo de papel”.
15.4: Se cumple con la primera fase del proyecto con cumplimiento del 100%, se han realizado actividades como elaboración de documento de definición de alcance para 3 macroprocesos (GDI - GESTIÓN DIRECTIVA, GTH - GESTIÓN DE TALENTO HUMANO y ADMINISTRACIÓN DEL SISTEMA DE GESTIÓN INTEGRADO) a los cuales se les hará análisis de riesgos y aplicación de controles de seguridad junto con politicas  y procedimientos
</t>
  </si>
  <si>
    <t xml:space="preserve">7.1. Dentro de la revisión al proyecto  hortofrutícolas se definió  el numero de muestras de la siguiente manera: 1. El ICA tomará 1400 muestras en puertos, aeropuertos y pasos fronterizos y  DIROS 1400 muestras en Molinos.  Del total de  2800 muestras, los analisis serán realizados por laboratorios externos  y la otra parte por parte de los  laboratorios del  Invima que determinan los costos asociados del servicios de análisis e insumos requeridos.
Teniendo en cuenta que el proyecto requiere la participación activa de un actor externo en este caso el ICA  se recomienda  establecer compromisos claros y un cronograma conjunto sobre el cual se pueda hacer seguimiento a las responsabilidades de cada una de las partes involucradas.
7.2. En relación hortofrutícolas Cadmio-Cacao se elaboró un documento técnico en donde se incluyen  un muestreo estadístico, la selección de las Empresas fabricantes de productos derivados del cacao, la cantidad de muestras a tomar para un total de 520  y el cronograma de muestreo.
7.4. Dentro del proyecto residuos de medicamentos veterinarios, plaguicidas y contaminantes químicos en productos de origen animal- Bovinos. Actualmente se esta elaborando un documento técnico el cual contempla el diseño estadistico, el total de  muestra a analizar 3.861  y cronograma de análisis para los laboratorios del Invima y terceros contratados para tal fin.
7.5.1. En relación a los productos de origen animal-Porcinos,  se adelanta un documento técnico el cual contempla el diseño estadistico, para un total de  muestra a analizar 1.825  y los correspondientes resultados de los analisis realizados por los laboratorios, que permitar concluir el informe final para solicializados a los diferentes actores que intervinen en dicho proyecto.
7.5.2. Dentro de los resultados del proyecto asociado a los productos de origen animal-Leches Crudas,  se esta realizando la adición al contrato de analisis para un total de 598 muestras las cuales serán realizadas por  los laboratorios del Invima y la otra parte por parte de los laboratorios externos contratados.
7.5.3. En relacion al proyecto asociado a los productos de origen animal-Aves,  se esta realizando la adición al contrato de analisis para un total de 859 muestras las cuales serán realizadas por  los laboratorios del Invima y la otra parta por laboratorios Externos. Inicio del documento técnico con el diseño estadístico para el primer semestre de 2016. 
7.7.1.  Dentro del proyecto de Vigilancia de niveles de mercurio total en productos de la pesca: bocachico y bagre, se verificó de la hoja de vida y cronograma del proyecto en donde se define la versión final. La toma de muestras (200) es realizada por las ETS y remitadas al correspondiente GTT quienes lo envian al laboratorio del Invima para su respectivo análisis. Para Bifenilos Policlorados PCB´S en bocachico y bagre el costo de estos análsis es asumido por el Ministerio de Ambiente mediante el Convenio 104 del 29 de Febrero de 2016 y para mercurio total el análisis es efectuado por la Oficina de Laboratorios del Invima.
7.7.2. El proyecto en donde se define la versión final sobre la cual se hará el respectivo segumiento. La toma de muestras (316) es realizada por las ETS y remitadas al correspondiente GTT quienes lo envian al laboratorio del Invima para su respectivo análisis.
Para la especie de atun en conserva se inicio el muestreo en el mes de Noviembre de 2015 y estos resultados se incluirian dentro del informe final del proyecto 2016. en relación a Bifenilos Policlorados PCB´S en bocachico y bagre el costo de estos análsis los asume el Ministerio de Ambiente mediante el convenioConvenio 104 del 29 de Febrero de 2016.
7.8. El Proyecto de Vigilancia de niveles de metilmercurio en productos de la pesca por correlación a mercurio total. Se verificó  la hoja de vida y cronograma del proyecto en donde se define la versión final sobre la cual se hará el respectivo segumiento. El número de muestras a tomar será de 200 analizadas por laboratorios tercerizados el cual cuenta con la correspondientes cotizaciones.
7.9. El Proyecto de Vigilancia de migración de sustancias químicas de envases que  entran en contacto con alimentos y bebidas. Se Verifica la hoja de vida y cronograma del proyecto en donde se define la versión final sobre la cual se hará el respectivo segumiento. Definición de 60 muestras a tomar las cuales serán analizadas por laboratorio de terceros.
7.10. El proyecto de Vigilancia de hidrocarburos aromáticos policiclicos en alimentos derivados cárnicos. Verificación de la hoja de vida y cronograma del proyecto en donde se define la versión final sobre la cual se hará el respectivo seguimiento. El número de muestras a tomar es de 300 las cuales serán analizadas por laboratorios de terceros.
7.11. El proyecto de Vigilancia de micotoxinas en alimentos procesados. Se verifico  la hoja de vida y cronograma del proyecto en donde se define la versión final sobre la cual se hará el respectivo segumiento, se relacionan el número de muestras a tomar un total 275 que serán tomadas por la DIROS y la Secretaria Distrital de Salud de Bogotá muestras que serán analizadas por el laboratorio del Invima.Verificación de la hoja de vida y cronograma del proyecto en donde se define la versión final sobre la cual se hará el respectivo segumiento, para este plan la toma de muestras (100) es efectuada por la Secretaria Distrital de Salud de Bogotá y el análisis será realizado por la Oficina de Laboratorios del Invima.Verificación de la hoja de vida y cronograma del proyecto en donde se define la versión final sobre la cual se hará el respectivo segumiento, para este plan la toma de muestras (100) es efectuada por la Secretaria Distrital de Salud de Bogotá y el análisis será realizado por la Oficina de Laboratorios del Invima.
7.12. Dentro del proyecto Vigilancia de Organismos Genéticamente Modificados en cereales: Vigilancia y control de rotulado de alimentos que declaran que no contienen o son libres de organismos geneticamente modificados  OGM,  en donde se define la versión final sobre la cual se hará el respectivo seguimiento, se tiene programado un total  de (100) de muestras y que serán tomadas por la Secretaria Distrital de Salud de Bogotá y analizadas  por la Oficina de Laboratorios del Invima.
7.13. El proyecto de Vigilancia de Organismos Genéticamente Modificados en cereales: OGM no Aprobados en Maíz Importado 2016 se verificó  la hoja de vida y cronograma del proyecto en donde se define la versión final sobre la cual se hará el respectivo seguimiento, para un total de (100)  de muestras   las cuales seran realizadas  por DIROS en los Puertos de Cartagena, Buenaventura, Santa Marta y Barraquilla  y el análisis de las mismas será realizado por la Oficina de Laboratorios del Invima.
7.14. El proyecto de Vigilancia de Organismos Genéticamente Modificados en cereales: Vigilancia y control  de OGM para alimentos de origen orgánico, se verificó  la hoja de vida y cronograma del proyecto en donde se define la versión final sobre la cual se hará el respectivo seguimiento, para un plan la toma de muestras (100)  realizadas por la Secretaría Distrital de Salud de Bogotá y el análisis será realizado por la Oficina de Laboratorios del Invima. El documento técnico esta actualmente en la priorización de las sustancias y productos objeto de análisis.
7.15. El proyecto de vigilancia y Control residuos medicamentos Veterinarios y contaminantes químicos en productos de Acuicultura (Unión Europea), se Verifica la hoja de vida y cronograma del mismo, en donde se define la versión final sobre la cual se hará el respectivo seguimiento. el documento técnico para el monitoreo de residuos químicos y lineamientos en la toma de muestras y análisis.  el costo del proyecto de las muestras lo asumiran las empresas exportadoras.
7.16. El proyecto de Vigilancia de  acrilamida en alimentos procesados,  se espera iniciar el muestreo en el mes de abril por parte de los GTTs y en Mayo por parte de la Secretaría de Salud de Bogota y el análisis de las 275 muestras será ejecutado por la Oficina de Laboratorios del Invima.
</t>
  </si>
  <si>
    <r>
      <t xml:space="preserve">Verificar con base en reportes analíticos el cumplimiento de los requisitos legales y parámetros establecidos para </t>
    </r>
    <r>
      <rPr>
        <sz val="8"/>
        <color indexed="8"/>
        <rFont val="Arial"/>
        <family val="2"/>
      </rPr>
      <t>el aporte de micro y macro-nutrientes.</t>
    </r>
  </si>
  <si>
    <t>6.- Aplicar las acciones de IVC  para diseñar e implementar procesos de gestión orientados a mitigar los efectos de la ilegalidad.</t>
  </si>
  <si>
    <t xml:space="preserve">1. IVC coordinado para el apoyo en el control de la ilegalidad de los productos y  tecnologías </t>
  </si>
  <si>
    <t>Programa Gestión de  la red  nacional contra la Ilegalidad y la Corrupción</t>
  </si>
  <si>
    <t xml:space="preserve">Afianzar el Grupo Unidad de  Reacción Inmediata mediante la definición de 
procesos y/o  procedimientos que faciliten la articulación con entidades externas y organismos de control
</t>
  </si>
  <si>
    <t xml:space="preserve">Dirección General / Grupo Unidad de Reacción Inmediata </t>
  </si>
  <si>
    <t>Establecer canales de comunicación y cooperación con entidades nacionales, regionales, locales, autoridades judiciales, organismos de control y la fuerza pública, con el fin establecer estrategias de prevención y articulación interinstitucional, en contra de los actos de ilegalidad, contrabando y corrupción  de productos objeto de vigilancia por parte del INVIMA.</t>
  </si>
  <si>
    <t xml:space="preserve">
3.1.  El objetivo General  es Mantener y potenciar el crecimiento de los Centros Centinelas de la Red Centinela con la Vigilancia Intensiva, con  una ejecución física de las actividades de un 2%, producto de  una ejecución del 65% en la fase de pre alistamiento del Convenio Interadministrativo con la Universidad Nacional que esta en proceso de contratación  en su fase final para firma por parte del Secretario General.
3.2. El proyecto  busca la integración de los Reportes Periódicos al Sistema de notificación ONLINE, para optimizar la gestión del Grupo de Tecnovigilancia y de las Secretarias de Salud, el avance de  los diseños de  las estructuras de consultas de los reportes  trimestrales al interior del Aplicativo Web de Tecnovigilancia y  de consulta de Eventos e Incidentes Adversos al interior del Aplicativo Web de Tecnovigilancia</t>
  </si>
  <si>
    <t>*Gestionar convenios y/o acuerdos para fortalecimiento de lucha contra la ilegalidad y corrupción</t>
  </si>
  <si>
    <r>
      <t>Acciones Institucionales
*Gestionar convenios y/o acuerdos para fortalecimiento de lucha contra la ilegalidad y corrupción:</t>
    </r>
    <r>
      <rPr>
        <sz val="8"/>
        <rFont val="Arial"/>
        <family val="2"/>
      </rPr>
      <t>Durante el primer trimestre, el Grupo Unidad de Reacción Inmediata gestionó la suscripción de dos convenios:
1. El primero con la Oficina de Naciones Unidas contra la Droga y el Delito-UNODC. Actualmente se encuentra en revisión el Convenio Marco y el Anexo técnico.
2. El segundo entre el Invima y la Cámara Colombiana de Comercio Electrónico-CCCE, para realizar acciones conjuntas y esfuerzos para ayudar a contrarrestar y mitigar las ventas ilegales y el contrabando de productos de control sanitario de competencia del INVIMA, que puedan ser ofrecidos y comercializados a través de plataformas de comercio electrónico. Se espera el lanzamiento del convenio para el 26 de abril de 2016.</t>
    </r>
    <r>
      <rPr>
        <b/>
        <sz val="8"/>
        <rFont val="Arial"/>
        <family val="2"/>
      </rPr>
      <t xml:space="preserve">
*Participar en  reuniones o mesas de trabajo de lucha contra la ilegalidad, contrabando y corrupción convocadas por entidades públicas y privadas:</t>
    </r>
    <r>
      <rPr>
        <sz val="8"/>
        <rFont val="Arial"/>
        <family val="2"/>
      </rPr>
      <t>Durante el primer trimestre de 2016, se participó en las siguientes reuniones de lucha contra la ilegalidad, contrabando y corrupción:
1. Comité Técnico con FEDEGAN. Tema: Contrabando de ganado y comercio ilícito de carnes.
2. I Congreso Regional de Lucha contra el contrabando, lavado de activos y evasión fiscal. Entidades Participantes: Ministro Consejero para el Posconflicto, Derechos Humanos y Seguridad, Universidad del Rosario, Federación Nacional de Departamentos,Director Fiscalización Aduanera DIAN, Polfa, Director de Fiscalía nacional especializada Contra el Crimen Organizado, Instituto Colombiano de Derecho Aduanero (ICDA) e Invima.
3. Reunión Grupo de trabajo de la iniciativa “Hacia la integridad. Una Construcción entre los Sectores Público y Privado en Colombia”.Entidad que convoca: UNODC, Entidades participantes: SIEMENS.
4. Reunión con OPS. Tema:Presentar la estrategia de Ilegalidad, contrabando y corrupción adoptada por el Invima. 
5. Reunión con el Ministerio de Salud- Dirección de Medicamentos y Otras Tecnologías. Tema: Plan de Acción para el tema de SSFFC.
6. Reunión con laboratorio Alexion Pharma. Tema: Posible contrabando.
7. Reunión con la POLFA. Tema: Revisar la implementación del Decreto 1500-2007.
8. Reunión Comisión Interinstitucional de Lucha contra el Contrabando. tema: Implementación y seguimiento de compromisos de la Ley 1762-2015.</t>
    </r>
  </si>
  <si>
    <t>Compromisos Año 2015-2018</t>
  </si>
  <si>
    <t>Realizar estudios de referencia, que permitan estimar la frecuencia de presentación, las tendencias epidemiológicas de los patógenos en los alimentos y su gravedad para los consumidores.</t>
  </si>
  <si>
    <t>12.1. Durante el segundo trimestre 2016, se logró implementar los 5 programas (gestión integral de residuos, consumo racional del agua, uso eficiente del papel, consumo racional de energía, control integral de plagas) de gestión ambiental a nivel Invima Bogotá, se realizaron actividades para dar a conocer la clasificación de residuos (gestión integral de residuos), se elaboró el borrador del manual del sistema de gestión ambiental, durante estos meses se ha realizado seguimiento a los datos e indicadores de gestión ambiental mensual, bimensual, semestral y anualmente según sea el caso. Se espera que el manual este implementado para el mes de Septiembre.
12.2.Durante los últimos meses se ha venido trabajando con la áreas misionales y con el web máster para el desarrollo de las diferentes actividades, tales como la unificación de criterios, canales de comunicación, capacitaciones, y el desarrollo de preguntas frecuentes para poder hacer el link que estará montado en página web. La oficina de Atención al Ciudadano está realizando sus actividades y buscan soluciones prontas a cualquier inconveniente que ocurra.
12.3. A la fecha el Grupo de Gestión contractual cumple con las actividades acerca de la actualización documental y divulgación de la misma dentro de las fechas establecidas, así mismo evidencian el trabajo de cada actividad mediante listados de asistencia, actas, resoluciones, documentos actualizados, socializaciones mediante correo electronicos, entre otros.
12.4. Durante el segundo semestre se implementaron los procedimientos actualizados, se realizó el acompañamiento pertinente por parte de cada padrino a los procesos, y se realizaron acompañamientos durante las auditorías internas.</t>
  </si>
  <si>
    <t xml:space="preserve">12.1. Matrices de evaluación de aspectos e impactos ambientales en todas las sedes del Invima de Bogotá
Identificación, implementación y seguimiento de datos e indicadores ambientales (consumo de papel, consumo de energía, consumo de agua potable, manejo de residuos sólidos, manejo de residuos líquidos)
Durante el primer trimestre de 2016, se han hecho las matrices para la identificación de aspectos e impactos ambientales, se actualizaron los procedimientos de acciones correctivas y preventivas, control de documentos, control de registros y auditoría interna. Adicional se han implementado los programas de gestión ambiental Institucional, y se cuenta con la información necesaria para el planteamiento inicial de los indicadores ambientales.
12.2. La oficina de Atención al Ciudadano ha venido trabajando en conjunto con las direcciones misionales para el buen desarrollo de las actividades y la mejora de la comunicación con los GTT´s para entregar información adecuada y concreta.
Adicional a esto se ve el compromiso que tiene el área para ir más allá y tener el convenio con confecámaras para darle una información a los usuarios de otras ciudades. Esto con el fin de que el ciudadano que saqué la cámara de comercio tambien tenga información acerca de como realizar un trámite frente al Invima.
12.3. Se puede evidenciar el trabajo realizado en el Grupo de Gestión Contractual dado que varias actividades se realizaron en un tiempo menor al planeado, se han ejecutado de forma correcta y ha servido para el fortalecimiento de sus documentos.  Adicionalmente a la fecha se han revisado y actualizado aprox. el 80% de los documentos teniendo en cuenta que no todos necesitaran actualización. Así mismo actualmente se lleva un control de lo lineamientos para la contratación, se tiene un comité de contratación, se han hecho reuniones para socialización y aclaración de conceptos, entre otros.
12.4.Diagnóstico para realizar los cambios de los diferentes documentos a la nueva versión ISO 9001:2015.
Se tiene como fecha programa para realizar la Auditoría Externa para el mes de Octubre.
En el primer trimestre de 2016 se han actualizado los procedimientos tales como Control de las salidas no Conformes, Auditoría Interna, Acciones Correctivas, Preventivas y de optimización, Control de Registros, Control de Documentos, así como el procedimiento de Gestión de Riesgos que permite identifciar, analizar y valorar los riesgos operacionales. Adicionalmente se realizaron capacitaciones acerca de la transición de la norma en reunión de facilitadores, en el curso de auditores internos, capacitación a la Dirección de Operaciones Sanitarias, al VUCE, GTT Bogotá, entre otros.
</t>
  </si>
  <si>
    <t xml:space="preserve">12.4. Transición del Sistema de Gestión Integral del INVIMA a la norma NTC ISO 9001:2015 </t>
  </si>
  <si>
    <t>11.2 Mejoramiento del sistema nacional de control e inocuidad de alimentos de consumo Nacional y exportación bajo un enfoque de riesgo nacional.</t>
  </si>
  <si>
    <t>11.1. Dentro del trimestre se realizaron comunicaciones con los países de Emiratos Arabes, Egispto, Libano, Chile, Panamá, Rusia y Cuba; con los países anteriormente nombrados se realizaron actividades tales como:
- Comunicado de prensa de Emiratos Arabes, Egispto y Libano en página web
- Reporte de resultados de apertura del mercado de Chile, rueda de prensa en la que hizo presencia la Ministra y se hazo entrega de los certificados a las plantas habilitadas, pasos a seguir.El Director General envia correo a plantas y entidades relacionadas en el tema (programa de transformación productiva, Mincomercio, Fedegan; Presidencia, Procolombia), en donde se les informa el resultado de la auditoría.
- Apertura de mercado de exportación a Panamá de productos cárnicos-quesos, plantas habilitadas, pasos a seguir.
- La adición de Rusia de dos paises a la Unión económica Euro-Asiática (Quedando 5 países), información en donde se puede consultar las plantas habilitadas.
- Ronda de negociaciones en Cuba en redes sociales del Instituto
- Visita de Cuba a Colombia publicada en redes sociales del Instituto
En la visita a Cuba se activa la actualización del acuerdo comercial, se negociaron todos los textos del acuerdo, y llevar a cabo  reunión sanitaria con el objetivo de promover las exportaciones de Colombia.
En reunión-comite con Canadá se trabajan temas de carne bovina, temas de certificados de lácteos y certificado para exportación de Canadá hacía Colombia de productos procesados como papas congeladas-OGM. 
11.2. - El director de alimentos y bebidas el 20 de abril de 2016 asiste a comite de seguimiento y supervisión.
- La Dirección de Alimentos y Bebidas atendió la totalidad de requerimientos, dudas o inquietudes que fueron allegadas por parte de Bancoldex y plantas interesadas a presentarse.
- Se han enviado ajustes en documentación requerida por Fonade, y la Dirección de Alimentos y Bebidas se encuentra a l a espera de nuevas solicitudes.
- Finalmente se presentaron 5 plantas de bovinos de las cuales se seleccionaran 4.
- Se realiza la actualización y ajuste de ficha EBI ante el DNP en conjunto con profesionales de la Oficina Asesora de Planeción y asesora de Dirección General.
Se está a la espera  de realización de mesa de trabajo (con Bancoldex-PTP-Mincomercio) para determinación de las plantas y asignación de equipos de trabajo.</t>
  </si>
  <si>
    <t xml:space="preserve">11.1. Listado de asistencia de reunión realizada.
* Documento-Informe HERRAMIENTA DE GEOREFERENCIACION - MARO
* Propuesta de plan de trabajo de medicamentos, cosméticos y dispositivos según mercados priorizados.
* Publicaciones en página web del Instituto del 19-01-2016 / 05-02-2016)
* Publicación en redes sociales del Invima. (22-02-2016 / 23-02-2016 / 01-03-2016 / 04-03-2016)
* Publicación en redes sociales de la asistencia al foro semana organizado por el ministerio de comercio y procolombia.
* Publicación en redes sociales de la visita de la organización mundial de la salud animal. (04-03-2016)
* Publicación en redes sociales de la participación en macro-rueda de Procolombia de negocios (19-03-2016)
* Publicación en redes sociales de visita del servicio veterinario de Egipto
* Publicación en redes sociales plan de residuos de la unión europea
* Publicación en brochure de plantas para Rusia.
+ Correo electrónico en el que se le informan al DG, Mincomercio, plantas involucradas (Minerva-Camaguey-Frigo Rio Frio), PTP (Programa de Transformación Productiva), el resultado en cuanto a fortalezas y pasos a seguir de la auditoria de Chile realizada el pasado mes de marzo (El informe oficial por parte de Chile será emitido aprox. en el mes de mayo)
+ Correo electrónico a FEDEGAN-MINCOMERCIO-PROCOLOMBIA-PTP-ICA-ASOCARNICAS-PRESIDENCIA, en donde se informa el cierre y hallazgos de la auditoria realizada de parte de Chile.
* Memorias de Comite MSF con Cuba en el que participó Mincomero- ICA - INVIMA y la parte de Cuba (24 de febrero)
11.2.El convenio interadministrativo entre el Instituto y Bancoldex es el 563 firmado el 14-12-2015. El pliego de términos de referencia va en la adenda 5 y ya se encuentra publicado en página de contratación de Bancoldex.
Una vez definidos los perfiles requeridos a contratar, se emitió primera convocatoria (Sept-Oct) en la que se debian seleccionar 89 hojas de vida, debido a que no se completo la necesidad de HV, se abrio una segunda convocatoria (Ene). Se han realizado entrevistas, y FONADE es quien se hará cargo de los contratos.
</t>
  </si>
  <si>
    <t xml:space="preserve"> 2.1.En la fase de Diagnóstico y Planifcación en la actividad  "Realizar un Documento diagnóstico del estado actual de las experiencias de cooperación internacional a traves de los ITC o de los proyectos de cooperación de los años 2013 y 2014.",  se encuentra documento  para revisión por parte de la Jefe de Oficina.
- La Oficina de Asuntos Internacionales envió documento - Ficha de Captura con criterio para escoger Buenas Prácticas de las Direcciones Misionales,  los profesionales de la Oficina se encuentran procesando la información allegada.
2.2. Documento de informe - Estrategia.
Documento con avance de análisis DOFA.
La Oficina de Asuntos Internacionales trabaja en la concertación de planes de trabajo con agencias homólogas de paises como:
- Argentina (ANMAT - SENASA); Cuba, Chile, Estados Unidos, Peru, Ecuador, Salvador,España,Mexico,Paraguay, Brasil.
2.3. La primera versión del Convenio fue enviado a la OPS por la Jefe de la Oficina de Asuntos Internacionales.</t>
  </si>
  <si>
    <t>2.1. La información requerida por la Oficina de Asuntos Internacionales fue allegada por la totalidad de las Direcciones Misionales en la ficha de captura correspondiente, dicha información fue procesada y analizada por los profesionales asignados. Para la actividad de "Desarrollo de Instructivo, formatos que puedan surgir para la implementación del banco de experiencias y buenas prácticas regulatorias" se socializaron los diferentes puntos de vista, y se tiene propuesta para su ejecución, se pretende trabajar con el grupo de calidad de la OAI para dicho fin. 
En reunión adelantada con el Director General, se dieron lineamientos al respecto de lo que se quiere realizar en cuanto a las buenas prácticas.
2.2. Se presenta documento de evaluación de la Cooperación al Director General quien solicita ajustes del mismo para posterior revisión y aprobación. Dicho documento se desarrolló bajo metodología específica de la cooperación internacional el cual servirá como base para la estrategía. Para la contrucción del documento de evaluación de la Cooperación se realizó análisis de las debilidades, oportunidades, fortalezas y amenazas con sus respectivas conclusiones.
En cuanto a la concertación de planes de trabajo se presenta:
Argentina-ANMAT: Ya esta para firma el plan de trabajo. / Argentina-SENASA: Se encuentra en ejecución el proyecto (se realizan visitas por parte de Arg a Col y de igual manera funcionarios del laboratorio Invima a Argentina). / Cuba: Ya existe plan de trabajo. / Chile: Existe plan de trabajo acordado para la vigencia / Estados Unidos: Plan de trabajo concetardo. / Perú-Ecuador: Ya hay plan de trabajo concertado. / Mexico: Se negocia la implementación final del proyecto.
2.3. El 14 de abril de 2016 la jefe de Oficina realiza el envío a OPS de la primera versión del Convenio con los comentarios respectivos de Invima. Se asiste a las diferentes reuniones en las que se ha concertado temas relacionados al convenio.
La Oficina de Asuntos Internacionales realizó reuniones con las áreas, como resultados de éstas se elaboró documento en el que se incluyen todas las áreas que participan en el convenio con sus respectivas justificaciones técnicas (Dispositivos-Alimentos-Medicamentos-Laboratorios)</t>
  </si>
  <si>
    <t xml:space="preserve">
1.1. Definición de los lineamientos,  objetivos, temas, ciudades y antecedentes en conjunto con la Escuela Judicial Rodrigo Lara Bonilla para la realización de los conversatorios en temas sanitarios a funcionarios y empleados al servicio de la administración de la justicia colombiana.
1.3. Ejecución de la fase de alistamiento en donde se han elaborado los términos de referencia y estudios previos que permitiran la suscripción de un convenio interadministrativo con la Universidad Nacional para la implementación y puesta en marcha de una metodología de vigilancia activa intensiva para los dispositivos médicos.
1.4. Producto de la fase de Planeación se observa la Definción del plan de trabajo, Alineación con los objetivos estrategicos del Instituto, se evidencia base de datos con los contactos de los referentes institucionales de Reactivovigilancia. además un informe de los  criterios de selección de las instituciones donse se implementará la metodología.
1.5. Evaluación de la armonización, presenta un avance del 90%,y se efectuaron los aportes y preguntas por parte de los asistentes.
1.6. se evidenció la inscripción de la hoja de vida ante CVLac e InstituLac y se definieron (6) proyectos asociados a Inspección, Vigilancia y Control, y se lleva un avance en el plan de Trabajo.
1.7.  Se realiza la cotización para la contratación de bienes y servicios, terminos de referencia versión preliminar de publicación con informacion relevante en la implementacion Decreto 1500 de 2007  y resoluciones reglamentarias.
1.8. Actas de reuniones con las Direcciones Misionales  para priorizar las necesidades de cada una de estas.
1.9. Actas de reunion con las Direcciones Misionales para definir las regiones  a trabajar y las temáticas a seguir.
1.10. Actas de reunión para presentar el proyecto a las Direcciones Misionales.
1.11. Se evidencia acta de reunion con el grupo de Talento Humano y las Direcciones  Misionales para definir la temática a seguir para desarrollar sentido de pertenencia en los funcionarios.
1.12. Documento en donde se enmarca inventario con las necesidades y destrezas técnicas de los inspectores.
1.13. Se define público objetivo y mensajes clave, concertacion de agenda con contactos.
1.14. Se estableció la definición de partes interesadas y concertación de agenda de contactos mediante correos electrónicos.</t>
  </si>
  <si>
    <t>7.4. Para el proyecto Hortofruticolas se ha realizado: elaboración de la matriz con metodología de análisis mutiresiduos y los productos priorizados clasificados por consumo,exportaciones,presencia de plaguicidas, excedencias en plaguicidas,presencia en metales, descripción de las medidas de mitigación, tipo de tratamiento, implicaciones desde el punto de vista toxicológico. Dentro de la matriz se incluye la puntuación y calificación de los criterios comparativos de los años 2013,2014 y 2015 lo que da como resultado el listado de 12 productos priorizados basados en los criterios anteriores.Diseño estadístico con el consolidado de muestras para 13 productos de los cuales 2 son importados(arroz y cebolla bulbo) y productos de exportación seleccionados por el ICA. En el caso de productos importados se clasifican por país, puerto en el que se toma, número de muestras,  para productos nacionales por departamentos, municipios,productos y número de muestras.
Lineamiento y diseño estadísitico del "Programa nacional de vigilancia y control de cadmio en productos derivados del Cacao" e inicio de toma de muestras para el  levantamiento de información y líneas bases debido a que no hay límites establecidos en los estandares internacionales por lo que este proyecto contribuirá de manera significativa.
7.5. Determinación de los lineamientos, parámetros y cronogramas establecidos para el inicio de toma de muestras en el marco de la vigilancia residuos de medicamentos veterinarios, plaguicidas y contaminantes químicos en productos de origen animal para carne bovina, porcina,aviar y leche cruda.
7.6.Inicio de toma de muestras en un 37% del total programado por parte de la Secretaría Distrital de Salud y la Dirección de Operaciones Sanitarias.
El Laboratorio del Invima ha remtido el análisis de 39 muestras, es un proyecto para levantamiento de información por lo que no hay niveles establecidos en los estandares internacionales o normatividad nacional que permita tomar medidas.
7.7.Documento con el lineamiento, priorización de las sustancias incluyendo metilmercurio y el diseño estadístico.Elaboración de cronograma de toma de muestras por municipio, departamento y número de muestras a tomar por mes para Bocachico, Bagre, bifenilos policlorados.
33% de toma de muestras para atún en conserva en lo referente a resultados de laboratorio se han recibido 95 resultados de los cuales 11 fuerón rechazados y se han tomado medidas de decomisos, reuniones con los atuneros y directores de plantas y visitas adicionales a las realizadas por la Dirección de Operaciones Sanitarias por parte de la Dirección de Alimentos y Bebidas para revisar el tema de mercurio y verificar los planes de acción en las plantas.
7.8.priorización de la sustancia, el diseño estadístico e inventario de muestras de Almagrario en el documento denominado "Plan Nacional de Vigilancia y de control de metilmercurio en productos de la pesca por correlación a mercurio total".
7.9.Priorización de las sustancias, el diseño estadístico y el cronograma del proyecto en el documento técnico "Plan Nacional Subsectorial de la vigilancia y control de la migración de sustancias químicas".
7.10.Priorización y diseño estadístico en el documento técnico denominado "Plan Nacional de control de residuos de medicmamentos veterinarios y otras sustancias y otras sustancias químicas para alimentos derivados cárnicos".
En el documento en mención estan definidas las empresas, el porcentaje de importación por puerto y principales ciudades productoras:Bogotá, Antioquia y Valle del Cauca.
7.11. 26% de avance en el muestreo total.Se han recibido 44 resultados de análisis de laboratorio de los cuales 17 fuerón rechazados, verificación de la evidencia de remisión de las propuesta de intervención para cada resultado rechazado  por el grupo de vigilancia epidemiologica de la Dirección de Alimentos y Bebidas y remtido a la Dirección de Operaciones Sanitarias.16 resultados de maíz importado los cuales son tomados a demanda con un 100% de resultados satisfactorios.
7.12. *OGM no Aprobados en Maíz Importado 2016: Priorización de las sustancias las cuales se orientan a Maíz blanco y amarrillo importadoe inicio de toma de muestras programadas con un total de 22 muestras a la fecha: 13 en Barranquilla, 1 en Buenaventura y 8 en Santa Marta, se aclara que la toma de muestras depende de la entrada del producto al país momento en el que se hace efectiva esta actividad, completar la toma de muestras del proyecto depende de los ingresos del producto al país.Se ha recibido resultados análiticos de parte del laboratorio de 16 muestras con resultados satisfactorios.
*Vigilancia y control de OGM para alimentos de origen orgánico: definición del lineamiento técnico No 29 de 2016 con la priorización de sustancias y el diseño estadístico.
7.13.  Inicio deToma de muestras del 40% del total programado y un 8% de análisis recibidos con resultados satisfactorios de acuerdo al documento remitido por el laboratorio por lo que no ha sido necesario la notificación o toma de medidas a los establecimientos.</t>
  </si>
  <si>
    <t>13.3. Fortalecimiento y adecuación de la infraestructura de las sedes del Invima.</t>
  </si>
  <si>
    <t>13.4. Articulación intra e inter institucional en alimentos y bebidas.</t>
  </si>
  <si>
    <t>13.5. Formulación de una propuesta técnica de modificación de la Resolución 719 de 2015 por la cual se establece la clasificación de alimentos para consumo humano de acuerdo con el riesgo en salud pública.</t>
  </si>
  <si>
    <t>13.6 Formulación y viabilización del proyecto  de fortalecimiento a la gestión documental del  Invima, en tecnología  e  infraestructura  a nivel nacional.</t>
  </si>
  <si>
    <t>13.7. Consolidación de la información estadística e indicadores clave de impacto para mostrar gestión del Invima</t>
  </si>
  <si>
    <t xml:space="preserve">16.1 Una vez realizada la II Tutoria al Proyecto, para la actividad Realizar el traslado de recursos al fondo de administración Invima-Icetex, a la fecha ya se envió el otro sí al Icetex, pero aún no se obtiene respuesta.
Para la actividad Continuar con la convocatoria para presentación de postulaciones para acceso al Programa de educación formal en el primer semestre de 2016 se ha recibido 26 solicitudes dentro de las cuales podemos contar nuevas y renovaciones
El desarrollo de la Tutoria de la Fase de Ejecución Acta comisión de personal del Proyecto en mención, se realiza  dentro de los tiempos establecidos, dentro de la cual se desarrollan las siguientes actividades:
-Revisión y Consolidación de las solicitudes presentadas para acceso a programas de educación formal, se han hecho reuniones y se han presentado 14 solicitudes a Icetex.
-Presentar las solicitudes ante la comisión de ´Personal, a la fecha se han presentado 14 solicitudes.
-Realizar acompañamiento a los funcionarios y trámite del proceso ante el Icetex, se ha hecho este acompañemiento de acuerdo a lo establecido para tal fin.
-Seguimiento a ejecución Presupuestal
Producto de las actividades enmarcadas en la fase de Ejecución, del proyecto, se obtienen los siguientes entregables:
Oficios relacionados en la Carpeta Icetex, correos electrónicos, radicados, Actas de cumplimiento a la ejecución presupuestal.
De los entregables correspondientes a la actividad Presentar solicitudes ante la comision de personal se evidencia las siguientes actas:
-Acta 1  Enero 18 de 2016
-Acta 6 Marzo 8 de 2016
-Acta 7  Marzo 30 de 2016
-Acta 9 Abril 27 de 2016
-Acta 10 Mayo 24 de 2016
-Acta 11 Junio 10 de 2016
16.3 Dentro de la fase de implementación  para la actividad Desarrollar las actividades para mejorar la percepción acerca de las comunicaciones internas, se entregan nuevos planes  e informes de nuevas estrategias de comuncicación.
_Desarrollar las actividades para mejorar la percepción acerca de las Condiciones de trabajo enla Organizació, de las 16 piezas de comunicación se han enviado por Systemplus 15 piezas.
-Referente a la actividad de Realizar mesas de trabajo de Clima Organizacional con el objeto de hacer seguimiento al avance del plan de intervencion, para esta actividad se realizaron seis mesas de trabajo.
16.4 Las actividades correspondientes a la fase de ejecución  se estan desarrollando de acuerdo a los tiempos establecidos para el fin, como es el caso de la Aprobación de las soclicitudes por parte de la comisión de personal,la cuales se presentan cada vez que las áres las necesitan.
Referente a la contratación de las necesidades aprobadas enla comisión de persional, desarrollo y ejecución, a la fecha se han pasado seis estudios previos los cuales se encuentran el el grupo de adquisiciones.
Producto de las actividades enmarcadas en la fase de ejecución  del proyecto se obtienen los siguientes entregables:
-Acta 8  Abril 15 de 2016
-Acta 9  Abril 27 de 2016
-Acta 11 Junio 10 de 2016
-Acta 13 Junio 22 de 2016
-Acta 14 Junio 30 de 2016
</t>
  </si>
  <si>
    <t xml:space="preserve">1.2. Se aprobó el plan de trabajo con reunión con la Universidad Nacional dentro del que se contempla la alineación del proyecto con los objetivos estratégicos del Invima en el módulo de reactivovigilancia.
Adicionalmente se hizo una revisión del material entregado por la Universidad frente la cual se hicierón las observaciones pertinentes.
1.3. El proyecto ha desarrollado la mayoria de sus  actividades planeadas dentro de los tiempos establecidos en el cronograma de trabajo y cumpliendo a conformidad con los entregables definidos.
1.4. El proyecto se ejecuta con el cumplimiento de las actividades y entregables de acuerdo a lo establecido en el cronograma de trabajo
1.5. Al evento asistieron 46 miembros de los distintos comités a nivel nacional y su impacto se vió reflejado puntualmente sobre los comités de ética en investigación clínica, logrando así un mayor acercamiento y reflexión sobre los puntos a fortalecer de éstos. 
1.6. Dentro de la tutoria  al proyecto se realizo una revisión global del mismo en donde se ajustaron actividades y tiempos de realización de las mismas y los avances en la ejcucion de las mismas.
1.7. Una vez cerrada la convocatoria se realizo la evaluación de las propuestas presentadas por las firmas consultaras interesadas en participar del proyecto, las cuales no fueron aporbadas .  Por lo anterior y con el propósito de cumplir con el objetivo del proyecto, el Minsiterio de Comercio, Industria y Turismo contratara directamente los consultores.
1.8. Dentro de las necesidades priorizadas por las direcciones misionales estan: 1000volantes informativos, 2000  brochure que contemplen los requisitos técnicos y legales para solicitar un registro sanitario, permiso sanitario y notificación sanitaria,  1.000 cartillas reimpresas  de la cartilla guía de vigilancia activa y denuncia ciudadana y 8 videos institucionales
1.9.Se revisió los compromisos establecidos en el cronograma, el cual esta ajustado a su programación y los avances respectivos. Para este proyecto se tomaron tres cuidades: Medellin, Bogotá y Cali. Asi como tambien las tematicas a trabajar durante la vigencia 2016.
1.10.Para el cumplimiento de este proyecto el grupo de comunicaciones definio en conjunto con el Director General las tematicas a abordar  con medios de comunicación: Fecha de aplicación del decreto 1500/2007, convenio mercado libre, convenio cámara de comercio eletrónico, apertura de nuevos mercados, ilegalidad, etc. La Entidad. a la fecha  15 encuentros con los medios.
1.11.  Grupo de comunicaciones dentro de este proyecto a realizado mas de 40 piezas de comunicación para reforzar el sentido de pertencia por la Entidad y demas mensajes queden estar interiorizados por los funcionarios.
1.12. Se revisó el proyecto el cual quedara para revisión y ajuste de acuerdo con los criterios del nuevo lider y previa aprobación por parte de la Dirección General.
1.13. Se revisó el proyecto el cual quedara para revisión y ajuste de acuerdo con los criterios del nuevo lider el cual será postergado o suprimido segun los criterios y conceptos de lider del mismo y previa aprobación por parte de la Dirección General.
1.14 Se revisó el proyecto el cual quedara para revisión y ajuste de acuerdo con los criterios del nuevo lider el cual será postergado o suprimido segun los criterios y conceptos de lider del mismo y previa aprobación por parte de la Dirección General
</t>
  </si>
  <si>
    <t xml:space="preserve">15.1: Se dispone información a la población en general información relacionada con ubicación de sedes, establecimientos vigilados con el riesgo asociado e información de bancos de sangre:  http://goo.gl/Bmzgn9, a través de la página web se promueve a denunciar en los links de peticiones, quejas y reclamos, se participa en la feria de atención y divulgación de tramites realizada por DNP en QUIBDÒ -  CHOCÒ con participación de 83 personas. 
2. Se realiza publicación en página web de la encuesta de percepción sobre los cambios realizados en página web, desde el 17 de mayo al 2 de junio, de la cual dieron respuesta 75 personas, como evidencia se cuenta con pieza grafica publicada, informe de resultados. 
3. Los 16 trámites seleccionados para intervenir en la vigencia 2016 a la fecha ya se racionalizaron.
Se realizó actualización de información de trámites en nombres,  normatividad, tarifas en SUIT y pasos se encuentra y se puede visualizar en el SUIT http://www.suit.gov.co/VisorSUIT/index.jsf?FI=16223  y en Sivirtual https://www.sivirtual.gov.co/memoficha-tramite/-/tramite/T219.
15,2 El Invima rinde cuentas a través de las redes sociales:
*En la VIII Reunión de las Autoridades Reguladoras Nacionales de Referencia Regional (ARNr), que se realiza en Brasilia, se presentó los avances normativos de Colombia y el rol de la autoridad en la política farmacéutica de Colombia.
*A partir de 20 de junio, el Invima renueva y modifica los registros sanitarios de los medicamentos de síntesis química y gases medicinales de manera automática, lo que facilitará el acceso efectivo de dichos medicamentos a los colombianos, disminuirá el riesgo de desabastecimiento y permitirá a la industria nacional incrementar sus exportaciones, en favor de la competitividad del país, Más información: https://goo.gl/3rdYLE
*Se cierra con éxito la misión de evaluación del proyecto de Cooperación Sur-Sur entre el Instituto Nacional de Alimentación y Nutrición, INAN y el Invima sobre registros sanitarios, inspecciones y Organismos Genéticamente Modificados
*Gracias a las gestiones realizadas por el Invima, se han obtenido avances importantes para la exportación de carne bovina debido a que ya 5 establecimientos han sido habilitadas por Egipto, 7 establecimientos han finalizado su proceso de registro ante El Líbano y se abrió el mercado de Emiratos Árabes Unidos para la exportación de este producto.
*Egipto, Emiratos Árabes Unidos y El Líbano, nuevos destinos de la carne bovina colombiana. 
*El ‪#‎Invima‬ comprometido con el apoyo a la competitividad del sector privado de Colombia y con el propósito de cumplir las metas de exportaciones fijadas por el Gobierno Nacional, comunica que se han recibido muy buenas noticias relacionas con la apertura de nuevos mercados.
*Socialización de la implementación del Decreto 1500 a nivel nacional
Avance en datos abiertos:  Se realizó campaña de divulgación de información sobre: Bancos de sangre, Plaguicidas, productos de aseo medinate campaña publicitaria en redes sociales sobre: Ases e higiene domestica, alimentos, Red nacional de Tecnovigilancia, haccp y bpm; se cuenta con informe sobre publicaciones en redes sociales que muestran en twitter 3306 impresiones, Facebook personas alcanzadas 50,895.  
15.3: Se encuentra en definicion del formato de registro del catalogo con los campos requeridos segun la guia y se ha adelantado la documentación de los servicios según dichos requisitos.
Como consecuencia de la implementación de las buenas prácticas de uso del papel el Instituo, en la medición del consumo de papel para el primer semestre de 2016, se ha reducido el consumo en un 9,5% comparado con el semestre anterior, porcentaje representado en 345 resmas menos de papel. 
15.4 Para el segundo trimestre no se definieron nuevas políticas, sin embargo la oficina realizo ajustes a los procedimientos de Acceso a los sistemas de Información y definio el proceso de Bases de Datos para fortalecer los temas de Seguridad en atención a las recomendaciones de KPMG y MinTIC,  se reviso la equivalencia de los controles 27001:2005 vs los controles 27001:2013 y la homologación de los mismos en el caso de los controles que fueron retirados en la nueva version. 
</t>
  </si>
  <si>
    <t xml:space="preserve">6.1.En la actividad informe de resultados de la tercerización de servicios de análisis de laboratorios se evidencia la matriz de consolidación y tabulación de la información de cada una de las sustancias.
El proyecto presenta un avance en cuanto a tabulación de la información lo que deja al proyecto con un avance total del 82%.
6.2. Se presenta un avance del 88% del proyecto con el inicio de la actividad de elaboración del informe de resultados.
 La fase No 3 presenta un atraso en su fecha de finalización, el documento de informe de resultados esta en proceso de elaboración y es un insumo fundamental para el inicio de la fase de cierre.
</t>
  </si>
  <si>
    <t>10.8. Control de la información referente a medios masivos de comunicación nacional, regional y locales que hacen referencia a los productos objeto de vigilancia de la Dirección de Alimentos y Bebidas.</t>
  </si>
  <si>
    <r>
      <rPr>
        <b/>
        <sz val="8"/>
        <rFont val="Arial"/>
        <family val="2"/>
      </rPr>
      <t>Acciones Institucionales</t>
    </r>
    <r>
      <rPr>
        <sz val="8"/>
        <rFont val="Arial"/>
        <family val="2"/>
      </rPr>
      <t xml:space="preserve">
</t>
    </r>
    <r>
      <rPr>
        <b/>
        <sz val="8"/>
        <rFont val="Arial"/>
        <family val="2"/>
      </rPr>
      <t xml:space="preserve">*Gestionar convenios y/o acuerdos para fortalecimiento de lucha contra la ilegalidad y corrupción: </t>
    </r>
    <r>
      <rPr>
        <sz val="8"/>
        <rFont val="Arial"/>
        <family val="2"/>
      </rPr>
      <t xml:space="preserve">Durante el primer Semestre, el Grupo Unidad de Reacción Inmediata gestionó la suscripción de tres convenios, de los cuales uno se encuentra actualmente en ejecución:
1. Convenio Marco entre la Oficina de las Naciones Unidas Contra la Droga y el Delicto -UNODOC Colombia y el Invima. Se presentó el anexo técnico y presupuesto estimado para la realización del convenio a la Dirección General , Oficina de Asuntos Internacionales y Oficina Asesora Juridica. Se está a la espera de instrucciones por parte de la Dirección General.
2. Convenio interadministrativo de asociación entre la Policia Nacional – Dirección de Protección y Servicios Especiales – Coordinación Policía Fiscal y Aduanera y el Invima. cuyo objeto es : Fortalecer los lazos de cooperación e intercambio de información entre las Instituciones INVIMA – POLICIA NACIONAL, que permitan coadyuvar a la prevención y detección de actividades y operaciones asociadas al “comercio ilícito” especialmente de ilegalidad, fraude y contrabando en productos competencia del INVIMA. Se encuentra en revisión en la POLFA para posterior firma del Comandante de la Policia Nacional y el Director del Invima.
3. Convenio de Asociación entre el Invima y la Cámara Colombiana de Comercio Electrónico-CCCE, cuyo objeto es: Aunar esfuerzos, recursos y capacidades técnicas para contrarrestar y mitigar las ventas ilegales y el contrabando de productos competencia del INVIMA que puedan ser ofrecidos y comercializados a través de plataformas de comercio electrónico.  Fue firmado el 21 de abril de 2016 y el mismo día se realizó su lanzamiento.Este Convenio se encuentra en ejecución. 
</t>
    </r>
    <r>
      <rPr>
        <b/>
        <sz val="8"/>
        <rFont val="Arial"/>
        <family val="2"/>
      </rPr>
      <t>Participar en  reuniones o mesas de trabajo de lucha contra la ilegalidad, contrabando y corrupción convocadas por entidades públicas y privadas:</t>
    </r>
    <r>
      <rPr>
        <sz val="8"/>
        <rFont val="Arial"/>
        <family val="2"/>
      </rPr>
      <t xml:space="preserve"> Durante el primer semestre de 2016, el Grupo Unidad de Reacción Inmediata participó en 15 reuniones de lucha contra la ilegalidad, contrabando y corrupción.
</t>
    </r>
  </si>
  <si>
    <t>4.1.  El proyecto  evidencia un avance en la ejecucion fisica de las actividades  de un 35%, la baja ejecución se debe fundamentalmente  a contratiempos en los compromisos definidos y la no aprobación por parte de  la Oficina de Tecnologías de la Información  del cronograma de actividades, para lo cual se recomienda realizar validación y aprobación por parte de la Oficina de Tecnologías del cronograma con el fin de realizar los ajustes tanto a HV como a cronograma de actividades.
4.2. Este proyecto presenta una ejecución fisica del 40% de las actividades que permita dar cumplimiento a su objetivo general  que es  Validar  la metodología SIGNAL aplicada a los reactivos de diagnóstico In vitro, mediante el uso de un número creciente de reportes de efectos indeseados, este proyecto se realiza con el apoyo y gestión de un profesional del Grupo de Vigilancia Epidemiológica.</t>
  </si>
  <si>
    <t xml:space="preserve">Realizar análisis de Laboratorio del contenido de nutrientes de interés en salud pública, para diagnosticar la situación acerca del aporte de estos macro-nutrientes en los alimentos que se designen por su mayor consumo </t>
  </si>
  <si>
    <t>3.1. Suscripción del contrato No 151 en el mes de Abril con la Universidad Nacional y formulación del cronograma de trabajo el 12 de Diciembre de 2015 donde se contemplaron las fases, componentes, productos y líderes del proyecto el cual fue aprobado en reunión de apertura el día 14 de Abril y acta de inicio  firmada por las partes; Documento con la revisión ampliada de literatura 3 Documentos de protocolos de investigación (bombas de infusión,cateteres venoso periferico y equipos de administración de soluciones) y se realizó Documento con el plan de implementación del sistema de vigilancia intensiva.
3.2. En la actividad de programar la estructura e integrar la opción de los reportes trimestrales al interior  del aplicativo web de Tecnovigilancia se hizo entrega de la estrcutura del formato de tripleta de implante a  la Oficina de Tecnologías de la Información quien se encargará de ejecutar la actividad, sin embargo en la programación de dicha Oficina se empezará a ejecutar la actividad en el mes Septiembre por lo que se impactará el desarrollo en el cronograma inicial.
El proyecto continua con un avance del 53% y depende de la programación de la estrcutura e integración de la opción de los reportes trimestrales al interior del aplicativo web de tecnovigilancia que realizará la Oficina de Tecnologías de la Información y el cual  iniciará en el mes de Septiembre .</t>
  </si>
  <si>
    <t>4.1. El proyecto ha ejecutado la fase de planeación en su totalidad y presenta un avance del 47%,  se presentan evidencias de correo de aprobación por parte de la Oficina de Tecnologías de la Información del cronograma de trabajo.
4.2. Se presentan los siguientes *Matriz de consolidación de los datos acumulados y totales hasta el segundo trimestre de 2016
*Informe de la validación de la estrategia SIGNAL aplicada a reactivovigilancia, y el proyecto presenta un avance total del 60% y una ejecución de las actividades dentro de los tiempos establecidos en el cronograma de trabajo así como de los entregables y evidencias que soportan dicho avance.</t>
  </si>
  <si>
    <t>5.1.  El avance del proyecto vigencia 2015 en las fases de Analisis de muestras, datos e información de un total de 2,254 muestras se han realizado 2,111 equivalente al  93,66% quedando pendiente la realización del Informe de resultados de las muestras tomadas y la presentación oficial de los resultados. Para la vigencia 2016 el proyecto presenta un avance en su etapa de diseño y desarrollo al 100% en donde se icluyen cronogramas., planes de muestreo, instrumentos de aplicación y estudios previos para tercerización de los servicios.</t>
  </si>
  <si>
    <t>5.3. El proyecto de " Detección y tipificación de Trichinella spp. en canales de la especie porcina. (Proyecto de Triquinella en Carne de Cerdo)" esta en el proceso de selccion de los laboratorios y precontractual en terminos de referencia.</t>
  </si>
  <si>
    <t>5.4. El proyecto se encuentra en su etapa precontractual para su realización el cual se realizara mediante convenio con la OPS</t>
  </si>
  <si>
    <t xml:space="preserve">6.1.En la actividad informe de resultados de la tercerización de servicios de análisis de laboratorios se evidencia la matriz de consolidación y tabulación de la información de cada una de las sustancias.
El proyecto presenta un avance en cuanto a tabulación de la información lo que deja al proyecto con un avance total del 82%.
6.2. Se presenta un avance del 88% del proyecto con el inicio de la actividad de elaboración del informe de resultados.
El documento de informe de resultados esta en proceso de elaboración y es un insumo fundamental para el inicio de la fase de cierre.
Este proyecto ha presentando las evidencias de las diferentes fases y su fecha de ejecución y en la cual se retoman dichos proyectos está pendiente para el segundo semestre, adicional a darle finalización a estos proyectos en el segundo semestre tambien se presentará el inicio y la ejecución de los proyectos 6.3 y 6.4
6.3. Se realiza la formulación del proyecto, cumpliendo dicha formulación con el objetivo de realizar análisis de Laboratorio del contenido de nutrientes de interés en salud pública, para diagnosticar la situación acerca del aporte de estos macro-nutrientes en los alimentos que se designen por su mayor consumo, así mismo este proyecto va dirigido a los Alimentos que en su rotulo presentan etiquetado nutricional respecto a los nutrientes de mayor interés en salud pública (jugos, refrescos, néctares, bebidas, derivados lácteos, cacao y sus derivados, caramelos, snacks, productos de panadería, pastas alimenticias, derivados cárnicos.   
</t>
  </si>
  <si>
    <t>5.2. El proyecto se encuentra en su etapa final con la realización del Informe y la presentación de resultados de un total de 2, 324 muestras programadas se recolectaron 2,263  con un porcentaje de cumplimiento del 97,38% quedando pendiente el informe final de los resultados obtenidos . Para la vigencia 2016 el proyecto presenta avance en la elaboración del cronograma, planes de trabajo e instrumentos de aplicación</t>
  </si>
  <si>
    <r>
      <t>10.1. / 10.2. / 10.3. / 10.4. / 10.5.
Las actividades (fases) para el desarrollo y ejecución de los proyectos requieren recurso presupuestal el cual sería asignado através del convenio MINCIT, debido a que dicho convenio no se ha formalizado no ha sido posible la ejecución de las mismas de acuerdo a lo planeado. El Grupo de Unidad de Riesgos informa que realizó gestión con el fin de obtener el desarrollo requerido a través de la Oficina de tecnologías de la Información, la cual no dio viabilidad dentro de la presente vigencia.
10.6.
Para la actividad denominada "Diseñar el proceso de captura de información" el grupo de la Dirección de Alimentos y Bebidas elabora formato mediante el cual se solicita a secretarías de salud a nivel  nacional información (administrativa, número de funcionarios, recursos, etc) con el fin de validar la capacidad operativa de cada uno ellos. Con el fin de realizar inscripción a nivel nacional y cargar la información, de acuerdo a lo establecido por la norma, el grupo trabaja en conjunto con el web master del instituto en la elaboración de herramienta-plataforma que pretende obtener la información unificada.
En cuanto al diseño del plan de auditoría se realizaron ajustes al documento presentado en la primera tutoría, se elabora propuesta de formato de acta de cierre de auditoria. Asimismo se crean formatos a manera de lineamientos-estructura para los planes de mejora.
En cuanto a las capacitaciones y asistencias técnicas se han realizado en: Secretaria Distrital de Salud de Bogotá, Salud de Cundinamarca, Guainia, Arauca, Buenaventura, Vaupés, Tolima, Huila, Santander (Videoconferencia), Boyaca, Putumayo, Amazonas, San Andres, Cesar.  Para el segundo semestre se pretende atender temas puntuales en conjunto con otros grupos de la DAB. Dentro de las capacitaciones y asistencias técnicas se han realizado 24 eventos en las que han participado un total de 1091 participantes, las cuales consistian en el apoyo de la implementación de las actas y los lineaminetos entregados en 2015.
10.7.
El IETS hace entrega el 13-06-2016 del documento diagnóstico realizado sobre los recursos técnicos que se evaluan para la obtención del registro sanitario de stent coronario. Informe de avances del proyecto con fechas del 25-04-2016/26-04-2016/02-05-2016/10-05-2016/17-05-2016/08-07-2016, entre otras. El 08-06-2016 se realizó presentación de adelando del proyecto.
En reunión de referenciación del 08-07-2016 el IETS presentó avance en la que se socializaron temas de busquedas en bases de datos y los hallazgos. Se evidencia la revisión sistemática de la literatura y referenciación internacional de los temas solicitados de paises España-Brasil-Canadá-Estados Unidos FDA-Argentina. En dicha reunión se solicitan ajustes los cuales serán presentados en la reunión del 22-07-2016.
10.8.</t>
    </r>
    <r>
      <rPr>
        <b/>
        <sz val="8"/>
        <rFont val="Arial"/>
        <family val="2"/>
      </rPr>
      <t xml:space="preserve">
</t>
    </r>
    <r>
      <rPr>
        <sz val="8"/>
        <rFont val="Arial"/>
        <family val="2"/>
      </rPr>
      <t>El contrato se firmó con la empresa Competencia Plus-Inteligencia en Medios, dicho contrato es compartido y financiado en conjunto con la Dirección de Medicamentos y Productos Biológicos. El objeto es la "Prestación del servicio de monitoreo de medios masivos de comunicación para publicidad de los productos competencia de las direcciones de medicamentos y productos biológicos y de alimentos y bebidas del Invima". 
Dentro del contrato se establecieron los planes de muestreo determinando que para la Dirección de Alimentos se hará un total de 65 tomas de publicidad con cierta periódicidad y con enfasis en productos destinados a población menor de dos años;población infantil mayor de dos años comprendida como primera infancia y menores de edad y bebidas alcoholicas.
El contratista habilita usuario y contraseña para el ingreso a la plataforma y con estos acceder a la información cargada. Dentro de la plataforma se evidencia parcialmente tomas publicitarias tales como comerciales, avisos y cuñas.</t>
    </r>
  </si>
  <si>
    <t xml:space="preserve">14.1: 
-'Desarrollar para sivicos movil el modulo adjuntar documentos: se define y se realiza el desarrollo del servicio web que consiste en adjuntar documentos en el aplicativo web de trámites en línea y aplicativos sivicos movíl o escritorio para la solicitud de inspección sanitaria de alimentos y bebidas en PAPF. Se encuentra en modulo de pruebas.
-Actualizar sistema de correspondencia: se realiza Contratacion de personal con el fin de realizar la actualización del sistema de correspondencia acorde a los requerimientos de la Entidad y a las normas del archivo general de la nación y se encuentran en ajustes en modulo de seguridad de correspondencia para adminsitración de usuarios, en desarrollo inclusión nuevas tipologias de correspondencia de: derechos de petición de congresistas, sugerencias y denuncias de ilegalidad
-Implementar Servicio web para expedición de certificados de productos de la pesca a importar  a la Unión Europea en el sistema TRACES: Reunión para definir información que va a contener el servicio web entre el Sistema de Traces e Invima, se encuentra en desarrollo el servicio web con los últimos ajustes, para la implementación y puesta en producción de TRACES Invima estará sujeto al cronograma establecido por la Unión Europea. 
-Diseñar e Implementar las actas de inspección sanitaria con enfoque riesgos  para alimentos, cárnicos y cosméticos el esta listo  para el piloto iniciando en Bogotá para cosméticos.
-Se encuentra terminado el desarrollo del IUM  y puesto en producción el 1 de junio de 2016, para RS nuevos y Vitales no disponibles. se encuentra terminando ajustes adiconales en la aplicación de registros para la captura de los campos IUM que vienen mediante web service de Minsalud.
-Implementar modulo de Inventarios de Laboratorios: Se defininieron  requerimientos para el desarrollo del aplicativo de inventarios de laboratorios, se realizaron los nuevos ajustes correspondientes de desarrollo de inventarios laboratorios, se encuentra en pruebas. 
-Implementar impresión de recibos de pago a través de la página web (código de barras), Se encuentra terminado el desarrollo, Se realizó  validación con Davivienda para simular el recaudo y el cargue de los pagos a traves de un aplicativo, se encuentra en aprobación.
-Se implementarón trámites  renovaciones y modificaciones automáticas  aprobada mediante Decreto 843 de 20 de junio de 2016. Actividad culminada al 100%
-Se automatizo la certificación de venta libre tipo OMS, sque contiene firma digital
14,2 Se Se publican los  bancos de sangre en página web Invima y se realiza divulgacion de georeferenciación a través de redes sociales y pág web invima, con el fin de dar a conocer información a la ciudadania, se ralizan reuniones internas con el fin de determinar la implementación del datamart.
14,3 Se realizan actividades relacionadas con  procesos precontractuales y contractuales con el fin de  actualizar la  plataforma tecnologica del instituto para este trimestre se cuenta con estudios previos realizados y en proceso de verificación por parte del grupo referente a: Mobile Iron, Solarwinds, IBM, Antivirus e Email security y concentrador. 
14.4:  Se encuentra en desarrollo de acuerdo a las priorizaciones, las revisiones de los proceso actuales, la deficnición de plantillas, la aleboración de pantallas y se encuentran en proceso de pruebas, calidad y producción que en un gran porcentaje se realizan para el mes de agosto.  
</t>
  </si>
  <si>
    <t xml:space="preserve">17.1 . Este proyecto en presente vigencia no se va a desarrollar fundamentalmente  por falta de recursos los cuales iban a ser aportados por parte de MINCIT.
17.2.El avance en las actividades de  Carga de la información en el aplicativo Sapiens del  60%, el proveedor Sapiens indicó que se deben realizar ajustes a la información enviada por los laboratorios de la Oficina de Laboratorios y Control de Calidad y teniendo en cuenta esta situación el cumplimiento del proyecto no sera posible realizarlo dentro de los tiempos establecidos. 
17.3 El proyecto evidencia un avance del 95% en su primera fase cumpliendo con el cronograma previsto, se confirma control de cambios realizado y  socializado a satisfaccion, los recursos destinados ya cuentan con CDP por la suma de 100.000,000 aun no cuenta con compromiso toda vez que el contrato a un no se ha suscrito. </t>
  </si>
  <si>
    <t>13.1  este proyecto se formulo en la vigencia 2015, con el objetivo adquirir, construir y dotar la infraestructura física de los  laboratorios del Invima. Es un proyecto de inversion que ya cuenta con codigo BPIN en el DNP y que para su ejecucion require de recursos Nacion. los objetivos especificos y su alcance depende de la aprobacion de estos recursos, se alcanzo a realizar un avance en el primer trimestre del 2015 del 5%, que consistio en la viavilizacion del proyecto por parte del DNP. Dentro del anteproyecto de presupuesto 2017 se solicitarón recursos a la Nacion para iniciar con la ejecucion del proyecto, sin embargo en la cuota para inversion en el 2017 el DNP no aprobo los recursos solicitados por lo que se realizaran gestiones dentro de esta vigencia para inciar ejecucin el el 2018
13.2  No se pudo ejecutar en la vigencia 2016, toda vez que el proyecto obtuvo  reduccion presupuestal y se quedó sin recursos para su ejecucion, se solicitaron recursos en el anteproyecto de presupuesto 2017 para continuar con el proyecto y  se aclara que depende de estos recursos para el cumplimiento del objetivo del mismo. 
13.4 avance del 71% en todo el proyecto, cumpliendo con el 100% de su fase de planificacion , con un avance del 87% en su fase de contratacion y con un iincio de la fase 3 del 10%. en materia presupuestal el  96% de los recursos ya cuentan con certificado de disponibilidad presupuestal equivalente   a 961 millones de pesos de los cuales 184 millones ya cuentan con registro.  Contrato No 239 - 2016-C.O. 239 DE 2016 PARA REALIZAR LAS ADECUACIONES FISICAS PARA LA SEDE DE NEIVA DEL GTT CENTRO ORIENTE 3 UBICADA EN LA CALLE 18A No. 7A 14 DEL BARRIO CAPO NUÑEZ-RAELJA INGENIERIA LTDA.
13.5  Poyecto ejecutado al 100%.Se concluye que se pudo implementar una herramienta en la que puedan interactuar la Industria de Alimentos y Bebidas, Gremios, Autoridades Sanitarias,  Sectores de Comercio y Fiscalización Aduanera, a nivel local como internacional Consultando, Inscribiendo y/o Modificando la  información en línea del código de inscripción del establecimiento.  
esta informacion se puede validar en el link https://www.sivirtual.gov.co/memoficha-tramite/-/tramite/T456
13.6   Ejecucion del 45% en todas sus fases, se cumple con el cronograma establecido y con las actividades propuestas, el avance financiero se refleja a lo largo de la vigencia por el rubro de gastos personales Indirectos teniendo en cuenta que va por el gasto de Funcionamiento. contrato No 190-2016 para el profesional Rafael Mosquera Arango
*acta, cronograma, lista de asistencia 
*documento general con la clasificacion
* CD con el contenido de la bibliografia internacional (revisado)
13.7  ejecucion del 100% en todas sus fases, con lo que se cumple el objetivo del proyecto que es Formular un proyecto Inversión para el Grupo de Gestión Documental y Correspondencia de la Secretaria General del Invima. se biabiliza el proyecto mediante codigo BPIN 2016011000086 Con el nombre FORTALECIMIENTO DE LA GESTIÓN DOCUMENTAL DEL INVIMA, EN TECNOLOGIA E INFRAESTRUCTURA A NIVEL NACIONAL, se evidencia Ficha EBI del proyecto informando que se incluyo dentro del anteproyecto de Presupuesto 2017 solicitando recursos Nacion para su finaciacion, luego de comunicada la cuota de Inversion por parte de la direccion de finanzas publicas del DNP.
13.8  avance del 22% en todas sus fases cumpliendo con el cronograma establecido para la ejecucion del mismo,  
* lista de asistencia de la presentacion ante DG el dia  30 de junio 2016 
*Documento con la propuesta de  indicadores e información estadistica  ajustada ( en espera de lieneamientos por parte de Direccion General).</t>
  </si>
  <si>
    <t>Porcentaje de Avance Acumulado de los Programas Año 2015</t>
  </si>
  <si>
    <t>Descripción de los Avances por Programa Año 2015</t>
  </si>
  <si>
    <t>Porcentaje de Avance Acumulado por Proyecto Año 2015</t>
  </si>
  <si>
    <t>Compromisos Año 2015</t>
  </si>
  <si>
    <t>El Invima planeo, formulo 12  proyectos que dan respuesta al compromiso planeado</t>
  </si>
  <si>
    <t>Durante el desarrollo de este proyecto se completaron las actividades de la fase de diagnóstico sin embargo el entregable de dicha fase es objeto de revisión para ajustes que dependen de una entidad externa en este caso específico la Escuela Judicial.
El entregable: El documento de análisis de información de encuestas aplicadas</t>
  </si>
  <si>
    <t>Durante el desarrollo de este proyecto se completaron las actividades de la fase de diagnóstico sin embargo el entregable de dicha fase es objeto de revisión para ajustes que dependen de una entidad externa en este caso específico la Escuela Judicial.
Se realizo la agenda y el material didáctico para llevar a cabo en el conversatorio, se realizo la logística, se encuentra pendiente el informe final del mismo.</t>
  </si>
  <si>
    <t>Se cumplio en su totalidad la ejecución de las actividades y se llevó a cabo la capacitación a 228 funcionarios, entre jueces y magistrados en el territorio nacional.</t>
  </si>
  <si>
    <t xml:space="preserve">Conversatorio en temas sanitarios a funcionarios y empleados al servicio de la administración de la justicia colombiana  </t>
  </si>
  <si>
    <t>Durante el desarrollo de las actividades de este proyecto se debe aclarar que su fecha de inicio se efectuó al finalizar el primer trimestre del año y que las actividades de la fase de diagnóstico que se encuentran planteadas dentro del cronograma de trabajo correspondientes a formulación de proyecto y plan de trabajo se planea sean culminadas al comienzo del segundo trimestre del año, es importante señalar que la mayor cantidad de actividades del proyecto se encuentran en las fases de desarrollo y ejecución cuyos avances se reflejaran en la verificación de avances para los meses de julio, agosto y septiembre
El entregable: El documento de análisis de información de encuestas aplicadas</t>
  </si>
  <si>
    <t>Durante el desarrollo de las actividades de este proyecto se formulo el mismo, se realizo el plan de trabajo, se realizaron los contactos respectivos con el DAPF y la ESAP, se elaboro la agenda  académica y el material de apoyo para el evento.</t>
  </si>
  <si>
    <t>Diseño del material de apoyo y guías para socialización de normatividad sanitaria vigente que servirá de soporte técnico y base para el desarrollo de actividades relacionadas con la temática en mención a ejecutar en 2016.</t>
  </si>
  <si>
    <t>Conversatorio sobre normatividad sanitarios a gobernadores y alcaldes del país</t>
  </si>
  <si>
    <t>Difundir conocimientos en temas sanitarios a los   Gobernadores y Alcaldes del país con el fin de fortalecer el mejor entendimiento y aplicación de la normatividad sanitaria vigente</t>
  </si>
  <si>
    <t>Oficina Asesora Jurídica</t>
  </si>
  <si>
    <t xml:space="preserve">Se han realizado las siguientes actividades: 
• Dominio para la migración de módulos virtuales de aprendizaje
• Ocho (8) módulos virtuales de aprendizaje migrados a la Plataforma LMS - SAKAI "Invima - Learning".
• Informe de resultados de aplicación de la encuesta dirigida a los profesionales de los Grupos de Trabajo Territorial - GTT del INVIMA.
• Módulos virtuales de aprendizaje actualizados (Tecnovigilancia, FOREIA, Protocolo de Londres, AMFE y SIGNAL).
• Presentaciones tipo y temáticas de los foros, para la aplicación de los talleres B-Learning a nivel nacional.
• Documento con las estadísticas de participación en los módulo virtuales de aprendizaje aplicados (E-learning)
• Informe de resultados de la Evaluación Final para el proceso de certificación de los participantes de los Grupos de Trabajo Territorial de INVIMA.
</t>
  </si>
  <si>
    <t>El proyecto Educación sanitaria virtual del programa nacional de tecnovigilancia del programa de Educación Sanitaria busca Aumentar la cobertura a nivel nacional en las actividades de promoción y formación del Programa Nacional de Tecnovigilancia por medio de la realización de Capacitaciones a través de ambientes virtuales y Asistencias Técnicas del Programa Nacional de Tecnovigilancia, se realizo un diagnostico por medio del envió de una encuesta a los participantes de la cual se obtienen unos resultados que alimentan un plan de trabajo virtual y presencial.
Se realizaron actividades como:
*Presentaciones tipo y temáticas de los foros, para la aplicación de los talleres B-Learning a nivel nacional, se evidencia su total cumplimiento.
*invitaciones y confirmación de participación en las actividades de Capacitación y Asistencia Técnica, para la primera etapa (GTTS) se evidencia su total cumplimiento y con respecto a las segunda etapa (IPS y Secretarias) se evidencia una ejecución del 8%, como resultado de la aplicación del taller en la ciudad de Manizales, de acuerdo con el cronograma establecido para el segundo semestre, el cual tiene planificado la realización de 7 talleres B-Learning.
*Módulos virtuales de aprendizaje actualizados (Tecnovigilancia, FOREIA, Protocolo de Londres, AMFE y SIGNAL), esta ligado al convenio No 200 de 2015, se evidencia su total cumplimiento.
*Resultados de la capacitación a tutores para la administración y manejo de la plataforma "Invima - Learning" (Evaluaciones y certificaciones), se evidencia su total cumplimiento.
*Aplicar módulos E-Learning y talleres B-Learning
*Evaluar y certificar
Esta fase se divide en dos etapas (GTTS y Secretarias,IPS),  la primera etapa esta cumplida al 100% como resultado de la total ejecución del cronograma para el primer semestre; la segunda etapa se inicio el 1 de Septiembre y culminara el día 27 de Noviembre, para la respectiva evaluación y certificación de los participantes  de Secretarias e IPS.</t>
  </si>
  <si>
    <t>Módulos virtuales de aprendizaje  actualizado en Tecnovigilancia: FOREIA, Protocolo de Londres, AMFE y SIGNAL)
Capacitaciones y asistencias técnicas.
Fortalecemiento de la comunicación interna y externa del riesgo asociada al uso seguro de los Dispositivos Médicos para uso en humanos y capacitaciones sobre la temática a:Secretarias Departamentales, Municipales y Distritales de Salud, Prestadores de Servicios de Salud, Importadores, Fabricantes, Usuarios y Grupos de Trabajo Territorial del INVIMA</t>
  </si>
  <si>
    <t>Educación sanitaria virtual del programa nacional de tecnovigilancia</t>
  </si>
  <si>
    <t xml:space="preserve"> </t>
  </si>
  <si>
    <t xml:space="preserve">Se han realizado las siguientes actividades: 
• Base de datos con los contactos de referentes institucionales de reactivovigilancia de Cali, Medellín, Bogotá D.C.
• Documento con resultados de talleres AMFE en instituciones prestadoras de servicios de salud de tres ciudades de Colombia.
• Documento de análisis de casos expuestos por las IPS participantes y socialización por parte de los profesionales del grupo de vigilancia epidemiológica
</t>
  </si>
  <si>
    <t xml:space="preserve">
Los avances:  
*Presentaciones tipo y temáticas de los foros, para la aplicación de los talleres B-Learning a nivel nacional, se evidencia su total cumplimiento.
*invitaciones y confirmación de participación en las actividades de Capacitación y Asistencia Técnica, para la primera etapa (GTTS) se evidencia su total cumplimiento y con respecto a las segunda etapa (IPS y Secretarias) se evidencia una ejecución del 8%, como resultado de la aplicación del taller en la ciudad de Manizales, de acuerdo con el cronograma establecido para el segundo semestre, el cual tiene planificado la realización de 7 talleres B-Learning.
*Módulos virtuales de aprendizaje actualizados (Tecnovigilancia, FOREIA, Protocolo de Londres, AMFE y SIGNAL), esta ligado al convenio No 200 de 2015, se evidencia su total cumplimiento.
*Resultados de la capacitación a tutores para la administración y manejo de la plataforma "Invima - Learning" (Evaluaciones y certificaciones), se evidencia su total cumplimiento.
*Documento con las estadísticas de participación en los módulo virtuales de aprendizaje aplicados (E-learning), y listados de asistencia, actas, formatos de evaluación y los talleres desarrollados por los participantes (B-learning). Con relación a este entregable se obtuvo el 63% como resultado de la aplicación total de los 4 módulos de los GTTS  y la a ejecución del un modulo de tecnovigilancia a IPS y secretarias, quedando pendiente la aplicación de tres módulos.
*Informe de resultados de la Evaluación Final para el proceso de certificación de los participantes de los Grupos de Trabajo Territorial de INVIMA, cumplido en su totalidad.
*Informe de resultados de la Evaluación Final para el proceso de certificación de los participantes Prestadores de Servicios de Salud, Secretarias de Salud y/o Importadores y Fabricante seleccionados, de acuerdo con el cronograma se encuentra dentro de las fechas establecidas y tiene como fecha limite para ser cumplido el 11 de Diciembre.</t>
  </si>
  <si>
    <t xml:space="preserve">6 jornadas de asistencias técnicas a prestadores en metodología AMFE a nivel nacional las ciudades de Cali, Medellín y Bogotá.
•  Documento con resultados de talleres AMFE en instituciones prestadoras de servicios de salud de tres ciudades de Colombia
</t>
  </si>
  <si>
    <t>Fortalecer la gestión de riesgo clínico (capacitación y asistencia técnica en metodología  amfe) en el programa de reactivovigilancia.</t>
  </si>
  <si>
    <t>Lograr la participación de 6 instituciones prestadoras de servicios de salud en el sistema de gestión de riesgo clínico mediante la metodología AMFE</t>
  </si>
  <si>
    <t xml:space="preserve">Se han realizado las siguientes actividades: 
Socialización 
• Memorias del evento
• Documento con la evaluación del cumplimiento de los objetivos planteados para el evento.
• Informe final con la evaluación de los resultados cuantitativos y cualitativos relacionados con la armonización de conceptos técnicos involucrados en la investigación clínica con medicamentos en el país para  elaborar o mejorar lo planteado por el instituto hasta la fecha
</t>
  </si>
  <si>
    <t>Se han realizado las siguientes actividades: 
Socialización 
• Memorias del evento
• Documento con la evaluación del cumplimiento de los objetivos planteados para el evento.
• Informe final con la evaluación de los resultados cuantitativos y cualitativos relacionados con la armonización de conceptos técnicos involucrados en la investigación clínica con medicamentos en el país para  elaborar o mejorar lo planteado por el instituto hasta la fecha
• Se realizo el convenio, se estableció la lista de participantes y se esta elaborando el material de apoyo.</t>
  </si>
  <si>
    <t xml:space="preserve">Realización del evento de socialización a la comunidad en temas relacionados con investigación clínica de medicamentos y evaluación de los resultados cuanti y cualitativamente.
Participación de 
1. Población incluida en estudios de investigación clínica con medicamentos que se realizan en el país
2. Investigadores que desarrollan investigación clínica con medicamentos 
3. Instituciones prestadoras de servicios de salud
4. Comités de ética
5. Sociedades científicas 
</t>
  </si>
  <si>
    <t xml:space="preserve">Armonización de conceptos técnicos relacionados con  investigación clínica de medicamentos </t>
  </si>
  <si>
    <t xml:space="preserve">Se han realizado las siguientes actividades: 
• Documento con la evaluación del cumplimiento de los objetivos planteados para el evento.
• Informe final de intercambio de conocimiento regional de farmacovigilancia.
</t>
  </si>
  <si>
    <t xml:space="preserve">Se han realizado las siguientes actividades: 
• Documento con la evaluación del cumplimiento de los objetivos planteados para el evento.
• Informe final de intercambio de conocimiento regional de farmacovigilancia.
• se elaboro material de apoyo y se están realizando las memorias del mismo </t>
  </si>
  <si>
    <t xml:space="preserve">Realización del evento de socialización-divulgación de conocimientos y resultados relacionados con farmacovigilancia.Informe final con la evaluación de los resultados cuanti y cualitativamente relacionados con la armonización de conceptos técnicos involucrados en la investigación clínica con medicamentos en el país para  elaborar o mejorar lo planteado por el instituto hasta la fecha.
Participación de 
1. Agencias Reguladoras de las Américas y Española
2. Organización Panamericana de la Salud.
3. Actores del Programa Nacional de Farmacovigilancia – INVIMA
</t>
  </si>
  <si>
    <t xml:space="preserve">Intercambio de conocimiento regional en farmacovigilancia </t>
  </si>
  <si>
    <t>Intercambiar experiencias de la farmacovigilancia en la región (América y España).</t>
  </si>
  <si>
    <t xml:space="preserve">Se ha realizado las siguientes actividades: 
• Base de datos Información establecimientos cosméticos.
• Material de capacitación o ayudas audiovisuales.
• Informe de resultados del proyecto.
</t>
  </si>
  <si>
    <t>Se ha realizado las siguientes actividades: 
• Base de datos Información establecimientos cosméticos.
• Material de capacitación o ayudas audiovisuales.
• Informe de resultados del proyecto.
• Se diseñaron y enviaron comunicaciones 
•Se han realizado las capacitaciones programas.</t>
  </si>
  <si>
    <t>Realización de 4 capacitaciones a la  Industria de productos Cosmeticos comercializados en las ciudades de Bogotá, Cali, Medellín, Barranquilla.</t>
  </si>
  <si>
    <t>Capacitación en temas de estudios de estabilidad</t>
  </si>
  <si>
    <t>Propender un mayor conocimiento acerca de la importancia de la implementación de  estudios de estabilidad.</t>
  </si>
  <si>
    <t>Dirección de Cosméticos, Aseo, Plaguicidas  y Productos de Higiene Doméstica</t>
  </si>
  <si>
    <t xml:space="preserve">Se han entregado las siguientes actividades: 
• Base de datos información establecimientos Cosméticos
• Material de capacitación o ayudas
• Informe final del proyecto.
</t>
  </si>
  <si>
    <t>Se han entregado las siguientes actividades: 
• Se realizo el diagnóstico de necesidades
• Se consolido la base de datos de los establecimientos y secretarias de salud
• Se desarrollo el material de capacitación y se enviaron las comunicaciones e invitaciones pertinentes.</t>
  </si>
  <si>
    <t>4 capacitaciones a la industria en las ciudades de Bogotá, Cali, Medellín y Pereira.
Elaboración del informe final con los reusltados del proyecto.</t>
  </si>
  <si>
    <t>Capacitación sobre disposición, uso y/o comercialización de productos cosméticos</t>
  </si>
  <si>
    <t xml:space="preserve">Generar una conciencia de responsabilidad, sobre el adecuado uso  y comercialización de productos Cosméticos, para la seguridad ciudadana.  </t>
  </si>
  <si>
    <t xml:space="preserve">Se han realizado las siguientes actividades:
• Temáticas por Dirección
• Piezas audiovisuales aprobadas
• Documento con relación de impacto obtenidos por proyección
• Certificación de los mensajes proyectados
• Actualización de cronogramas de acuerdo a las proyecciones realizadas
• Informe ejecutivo y lecciones aprendidas
</t>
  </si>
  <si>
    <t xml:space="preserve">Se realizaron las actividades pertinentes para la contratación para la campaña de la formula de la salud </t>
  </si>
  <si>
    <t>Divulgación de piezas  audiovisuales en las salas de cine a nivel nacional con un total de 677.000 impactos</t>
  </si>
  <si>
    <t xml:space="preserve">Espacios de pauta en cine 
</t>
  </si>
  <si>
    <t>Los comerciales realizados buscan fortalecer el vínculo entre el ciudadano y la institución, acercando al INVIMA  a la población en general,  para promover e incentivar pautas  correctas en el uso adecuado de los productos competencia de la entidad, con la pauta en cine se busca generar más espacios de difusión y divulgación de estos mensajes</t>
  </si>
  <si>
    <t xml:space="preserve">Se han realizado las siguientes actividades:
• Metodologías a utilizar
• Cronograma de las ciudades y establecimientos comerciales donde se aplicará el proyecto
• Documento informativo del impacto de las actividades por establecimiento
• Certificación de la ejecución de las actividades
• Informe final y lecciones aprendidas.
</t>
  </si>
  <si>
    <t xml:space="preserve">Se han realizado las siguientes actividades:
• Metodologías a utilizar
• Cronograma de las ciudades y establecimientos comerciales donde se aplicará el proyecto
• Documento informativo del impacto de las actividades por establecimiento
• Certificación de la ejecución de las actividades
• Informe final y lecciones aprendidas.
• Se realizaron las actividades pertinentes para la contratación para la campaña de la formula de la salud 
</t>
  </si>
  <si>
    <t xml:space="preserve">*Campañas de BTL en supermercados de 15 ciudades del país.
*Publicación en periódico ADN con circulación a nivel nacional con un total de 325.000 ejemplares.
</t>
  </si>
  <si>
    <t>Campaña de educación sanitaria Formula de la Salud</t>
  </si>
  <si>
    <t>Fortalecer vínculo ciudadano e institución, acercando el INVIMA a la ciudadanía en general concentrada en establecimientos comerciales como grandes superficies,  para promover e incentivar pautas  correctas en el uso adecuado de los productos competencia del INVIMA, así como enseñarles cuales los elementos que deben revisar a la hora de comprar como por ejemplo fecha de vencimiento.</t>
  </si>
  <si>
    <t xml:space="preserve">Se han realizase las siguientes actividades:
• Metodología a utilizar, Temáticas por Dirección y Documentos redactados.
• Plan de medios publicitarios
• Informe ejecutivo y lecciones aprendidas
</t>
  </si>
  <si>
    <t xml:space="preserve">Se han realizase las siguientes actividades:
• Metodología a utilizar, Temáticas por Dirección y Documentos redactados.
• Se definieron los temas a tratar, se encuentra en elaboración el Brief del foro y se esta realizando el plan de medio publicitarios.
</t>
  </si>
  <si>
    <t xml:space="preserve">Diseño de metodología y temática en el que se definió llevar a cabo el foro con la agencia interna del programa de publicidad de la Universidad de Bogotá Jorge Tadeo Lozano In-House Tadeísta.
- Acercamiento con la industria comercial, sector publicitario y medios de comunicación.
</t>
  </si>
  <si>
    <t xml:space="preserve">
Foro de publicidad responsable, el poder del mensaje y su impacto en la salud publica
</t>
  </si>
  <si>
    <t>Capacitar, socializar y sensibilizar a estudiantes de publicidad, docentes, agencias de publicidad, áreas comerciales de medios de comunicación y otros agentes sectoriales sobre la importancia de hacer publicidad responsable y como un mensaje errado o mal manejado puede generar un problema de salud pública.</t>
  </si>
  <si>
    <t xml:space="preserve">Se han realizado las siguientes actividades:
• Cuñas radiales 
• Difusión en emisoras radiales
• Piezas certificadas
• Informes ejecutivo
• Lecciones aprendidas
</t>
  </si>
  <si>
    <t>Se han realizado las siguientes actividades:
• Se han realizo la divulgación de mensajes institucionales relacionada con la gestión del Instituto como alertas sanitarias, de igual manera mediante redes sociales se difunde información de interés para el ciudadano y el empresario que conlleva a brindar mensajes relacionada con la importancia de la legalización de los productos.</t>
  </si>
  <si>
    <t>Divulgación de 7 cuñas radiales en 51 emisoras a nivel nacional con un total de 300 emisiones.</t>
  </si>
  <si>
    <t>Divulgación de mensajes institucionales en emisoras regionales</t>
  </si>
  <si>
    <t>Campaña enfocada a divulgación de mensajes institucionales sobre la importancia de la legalización en lo relacionado a registros sanitarios.</t>
  </si>
  <si>
    <t>el Invima planeo, formulo 8 proyectos que dan respuesta al compromiso planeado</t>
  </si>
  <si>
    <t xml:space="preserve">Evolución del programa dentro de las fechas establecidas, donde se pueden encontrar los avances obtenidos para el banco de experiencias de cooperación y buenas prácticas del INVIMA donde se han ejecutado reuniones para levantamiento de información, definición de criterios y creación de formato de captura de cada uno de ellos para la identificación de buenas prácticas, todo esto en conjunto con los enlaces de cooperación de cada dependencia.
Frente al proceso de “Apoyo al proceso de restructuración del INVIMA con miras a su fortalecimiento institucional” se presenta un porcentaje de avance del 71% debido a que se ha culminado la fase de negociación para el establecimiento del plan de trabajo y la fase referente a ejecución de actividades alcanza un 80% con intercambios de experiencias virtuales y presenciales en temáticas sobre: coordinación del sistema nacional de vigilancia sanitaria de Colombia para desarrollar los objetivos en materia de salud pública y normatividad sanitaria, modernización de la gestión institucional orientada a incrementar los niveles de legitimidad, confianza y transparencia ante la sociedad, fortalecimiento de la política de recursos humanos y permanencia de personal adecuado para ejecución y cumplimiento de funciones, articulación en el contexto internacional con otras autoridades sanitarias y fortalecimiento de gestión y control sobre la cadena de producción, distribución y consumo final de alimentos así como sobre la cadena de distribución de alimentos.
Adicionalmente el proyecto Argentina SENASA para el fortalecimiento del modelo IVC con enfoque de gestión del riesgo para la vigilancia en la producción de carne bovina y aves de corral en Colombia el cual a la fecha se ubica con un porcentaje de avance del 12% ha dado inicio a las fases de negociación de plan de trabajo y ejecución de actividades dentro de las que se destacan reuniones con las áreas técnicas para definir temas prioritarios e intercambio de experiencias nacionales e internacionales, las fases de implementación y cierre se ejecutarán en la vigencia del año 2016 por lo que su avance demanda mayor tiempo, es necesario aclarar que el proyecto se encuentra dentro de los tiempos programados en el cronograma inicial.
El proyecto Argentina MOU ANMAT se realizó la presentación de los principales elementos del sistema nacional de trazabilidad y señalización de medicamentos en Colombia así como la transferencia de conocimiento de la experiencia de Argentina en materia de trazabilidad y señalización de medicamentos.
Proyecto México SENASICA/COFEPRIS/CENETEC/IETS en donde se realizó la transferencia tecnológica para la implementación de nuevas metodologías moleculares para la detección y cuantificación de Organismos Genéticamente Modificados dando respuesta las necesidades de Inspección Vigilancia y Control.
Proyecto Estados Unidos USDA – FAS: intercambios de experiencias presencial, mesas técnicas sobre control, inspección aduanera de productos cárnicos procedentes de los Estados Unidos en los principales puertos de Colombia, e intercambio de experiencias en la reunión de expertos regionales con FSIS en Santiago de Chile.
</t>
  </si>
  <si>
    <t xml:space="preserve">Para el banco de experiencias se capturo la información y se consolido esta en proceso de análisis cualitativo y cuantitativo, se esta generando el informe en donde se recogen las experiencias y las buenas prácticas.
En la estrategia de Cooperación y gestión de proyectos, acuerdos y convenios internacionales se  identificaron las necesidades y el documentos de diagnostico del estado actual de los proyectos, acuerdos y convenios internacionales y en desarrollo se encuentra realizando el DOFA para la definición de lla implementación y definición de la estrategia. 
Se llego al acuerdo que el Intercambio experiencias y auditoria de pares en módulos sobre la evaluación de OPS con la herramienta abreviada se realizará en Colombia, mientras que el intercambio de experiencias para medicamentos homeopáticos, productos naturales  y Fito terapéuticos será en Cuba y de manera virtual se realizará intercambio de experiencias-Biológicos y Biotecnológicos. 
Cuba
Se llego al acuerdo que el Intercambio experiencias y auditoria de pares en módulos sobre la evaluación de OPS con la herramienta abreviada se realizará en Colombia, mientras que el intercambio de experiencias para medicamentos homeopáticos, productos naturales  y Fito terapéuticos será en Cuba y de manera virtual se realizará intercambio de experiencias-Biológicos y Biotecnológicos. 
Argentina ANMAT
Se definieron los temas prioritarios por medio de las solicitudes de cooperación que hacen todos los años las dependencias en donde se recopiló y se buscó que querían con la ANMAT. Por temas de presupuesto se acordaron algunas actividades virtuales con ANMAT, las cuales se está a la espera de concretar disponibilidad por parte de ellos.
México
Vía teleconferencias (3) se realizo comparativo consolidado acerca de la normatividad aplicada por COFEPRIS en insumos y dispositivos médicos, además se dio conocer como se desarrolla en la practica el proceso sancionatorio de COFEPRIS como agencia sanitaria
El  intercambio de experiencias sobre la aplicación de estándares de buenas prácticas de manufactura de dispositivos médicos y reactivos de diagnóstico in- vitro se determinó que se realizará en Bgta mientras que el  intercambio de experiencias Actividades de Laboratorios de Productos biológicos y Físico-Mecánico de Dispositivos Médicos y Otras Tecnologías actualizados según metodologías aplicadas por COFEPRIS será en México. Falta confirmación de fechas por parte de México.
ARGENTINA SENASA
El Invima hizo presencia y trató temas sobre el Sistema Oficial de Inspección, Vigilancia y Control de la Carne del INVIMA además del desarrollo e implementación de objetivos de desempeño y criterios de rendimiento que permitan lograr la inocuidad de alimentos basada en el Riesgo.
España 
El Invima hizo presencia realizando intercambios sobre temas de Biológicos y biotecnológicos- apoyo a la implementación del decreto 1782 de 2014, se está a la espera visita de experto de AEMPS quien profundizará en temas de fitoterapeuticos.
Chile
Se concertaron el total de las actividades para lo que queda de la vigencia, por instrucción de la Dirección General del Invima la prioridad con este país es Bioequivalencia-Biodisponibilidad para lo cual se determinó traer un experto de Chile, quien a su vez dará claridad en la implementación de Notificación en Línea RED-RAM -  FORMULARIO ELECTRONICO DE NOTIFICACION
Estados unidos USDA FAS
El Invima hizo presencia abordando temas sobre control, inspección y verificación aduanera de productos cárnicos procedentes de los Estados Unidos en los principales puertos de Colombia (Cartagena, Barranquilla y Buenaventura). Además realizando entrenamiento en laboratorio de FSIS en Estados Unidos.
Paraguay
De manera virtual se han llevado a cabo experiencias  en  Evaluación de Inocuidad Alimentaria y envases, así como intercambio de experiencias de Guías de Buenas practicas de identidad y calidad de alimentos
Acuerdos en negociación o ajuste
La gerente del programa hizo presencia en estados unidos concertando el plan de trabajo con FDA.
El acuerdo con ARCSA – Ecuador ya se firmo
El acuerdo con DIGEMID – Perú esta listo para firmas
El modelo de Convenio con OPS se encuentra en validación y ajuste por parte del gerente del programa
</t>
  </si>
  <si>
    <t xml:space="preserve">*Definición de criterios para identificación de una buena práctica y creación de formato de captura.
*Consolidación de información existente del 2013 y 2014 relacionada a los ITC o experiencias de cooperación.
</t>
  </si>
  <si>
    <t>Banco de experiencias de Cooperación y de Buenas Prácticas regulatorias del INVIMA</t>
  </si>
  <si>
    <t xml:space="preserve">Consolidar las experiencias, mejoramientos, aportes de carácter técnico científico y buenas Prácticas del INVIMA, a través de la identificación de las fortalezas institucionales existentes y las generadas de intercambios, lecciones aprendidas y casos de éxito con otros países. </t>
  </si>
  <si>
    <t>Documento final diagnóstico del estado actual de los proyectos, acuerdos y convenios internacionales que incluye el desarrollo de una matrz DOFA.</t>
  </si>
  <si>
    <t>Estrategia de Cooperación y gestión de proyectos, acuerdos y convenios internacionales</t>
  </si>
  <si>
    <t xml:space="preserve">Establecer los parámetros de actuación bajo los cuales se actuará en materia de cooperación internacional en el INVIMA. 
</t>
  </si>
  <si>
    <t xml:space="preserve">*Intercambio de experiencias de productos competencia de las entidades sanitarias.
*Visita sistema de vigilancia para bancos de sangre
</t>
  </si>
  <si>
    <t>MOU con Cuba CECMED</t>
  </si>
  <si>
    <t xml:space="preserve">Intercambio de experiencias virtuales y presenciales sobre:
- Coordinación del Sistema Nacional de Vigilancia Sanitaria de Colombia.
- Fortalecimiento de la política de recursos humanos del Invima.
- Articulación en el contexto internacional con otras autoridades sanitarias y organismos internacionales del campo de la salud.
- Fortalecimiento de los mecanismos de gestión y control sobre la cadena de producción, distribución y consumo final de alimentos, así como sobre la cadena de distribución de medicamentos.
</t>
  </si>
  <si>
    <t>Brasil ANVISA</t>
  </si>
  <si>
    <t>*Presentación de los principales elementos del sistema nacional de trazabilidad y señalización de medicamentos en Colombia.
*Transferencia de conocimiento de la experiencia de Argentina en materia de trazabilidad y señalización de medicamentos.</t>
  </si>
  <si>
    <t>Argentina MOU ANMAT</t>
  </si>
  <si>
    <t xml:space="preserve">*Transferencia tecnológica para la implementación de nueva metodología molecular para la detección y cuantificación de OGM.
*Intercambio de experiencias en actividades de laboratorios de productos biológicos y físico-mecánico de Dispositivos Médicos y Otras Tecnologías actualizados según metodologías aplicadas por COFEPRIS.
</t>
  </si>
  <si>
    <t>México – SENASICA/ COFEPRIS/ CENETEC/IETS</t>
  </si>
  <si>
    <t xml:space="preserve">Intercambio de experiencias virtuales y presenciales sobre:
- Diagnóstico  de la eficiencia y eficacia del sistema implementado actualmente.
- Evaluación de conocimientos adquiridos de inspección y certificación en sitios de control de primera barrera para importación y exportación de carne y aves de corral.
- Validación  de métodos microbiológicos  en las metodologías de interés 
- Presencia de hormonas y antibióticos en la carne.
</t>
  </si>
  <si>
    <t>Argentina- SENASA</t>
  </si>
  <si>
    <t xml:space="preserve">Intercambios virtuales y presenciales en temas sobre:
- Biológicos y biotecnológicos - apoyo a la implementación del decreto 1782 de 2014.
- Bioequivalencia y Biodisponibilidad.
</t>
  </si>
  <si>
    <t>MOU con AEMPS España, MOU con AEMPS España - Viáticos a expertos</t>
  </si>
  <si>
    <t>Intercambio de experiencias sobre evaluación de estudios de bioequivalencia y biodisponibilidad.</t>
  </si>
  <si>
    <t>MOU con Chile - IPS ANAMED</t>
  </si>
  <si>
    <t xml:space="preserve">Intercambio de experiencias en mesa técnica sobre control, inspección y verificación aduanera de productos cárnicos procedentes de los Estados Unidos en los principales puertos de Colombia (Cartagena, Barranquilla y Buenaventura).  
- Entrenamiento en laboratorio de FSIS en Estados Unidos.
- Entrenamiento en laboratorio de Invima sobre metodologías oficiales de la FSIS.
</t>
  </si>
  <si>
    <t>Estados Unidos – USDA FAS</t>
  </si>
  <si>
    <t>Acercamiento mediante visitas a Colombia  por parte de Paraguay  en el marco de la implementación del  Proyecto.</t>
  </si>
  <si>
    <t>Paraguay - INAN</t>
  </si>
  <si>
    <t xml:space="preserve">Definición plan de trabajo con Health Canadá y FDA.
- Firma de acuerdo con ARCSA, Ecuador y DIGEMID, Perú.
</t>
  </si>
  <si>
    <t>Acuerdos en Negociación y ajuste</t>
  </si>
  <si>
    <t>el Invima planeo, formulo 2 proyectos que dan respuesta al compromiso planeado</t>
  </si>
  <si>
    <t xml:space="preserve">El desempeño del programa se encuentra dentro de las fechas y plazos establecidos lo cual se ve reflejado en el cumplimiento de los proyectos asociados. Dentro de este programa se ha avanzado en las fases de diagnóstico y planificación con resultados como la revisión de literatura técnico científica y definición de criterios y diagnóstico de las Instituciones Hospitalarias definidas por el INVIMA en coordinación con la Secretaría de Salud
</t>
  </si>
  <si>
    <t xml:space="preserve">El avance del programa se evidencia en las actividades relacionadas con: 
• El proyecto de Metodología para la implementación  de la vigilancia intensiva en se desarrolla por medio de un contrato interadministrativo no 200 de 2015 con la Universidad Nacional dentro del cual se contempla la necesidad de evaluar la seguridad de los dispositivos médicos en condiciones reales de uso, de acuerdo con los estudios de caso que surjan de los resultados de la metodología de señalización, para así  establecer la metodología para la vigilancia intensiva.
-Se elaboraron diseños de herramientas de recolección  y protocolos de investigación, además de definir la metodología del plan de implementación de la fase piloto.
-Se presentó avance en la actividad de realizar  visitas de apertura en Cali, Medellín, barranquilla y Bucaramanga para la implementación de la fase piloto  del sistema de vigilancia intensiva y una visita de seguimiento a las mismas ciudades, esta actividad comprende visitas de apertura , seguimiento y cierre
•Diseños de  las estructuras de consultas de los reportes  trimestrales al interior del Aplicativo Web de Tecnovigilancia y  de consulta de Eventos e Incidentes Adversos al interior del Aplicativo Web de Tecnovigilancia actividades de las cuales está pendiente los accesos y permisos que se encuentran en configuración tecnológica. </t>
  </si>
  <si>
    <t xml:space="preserve">Plataforma-herramienta de recolección de información.
 - Protocolo de investigación y vigilancia intensiva para dispositivos médicos (Marcapasos, stent coronario, prótesis mamaria y lentes intraoculares) en instituciones a nivel nacional.
</t>
  </si>
  <si>
    <t>Metodología para la implementación  de la vigilancia intensiva en Colombia.</t>
  </si>
  <si>
    <t>Establecer la metodología para la vigilancia intensiva.</t>
  </si>
  <si>
    <t xml:space="preserve">Diseño de la estructura de consulta de los reportes trimestrales al interior del aplicativo web de Tecnovigilancia, con acceso y permisos.
- Diseño de la estructura de consulta de tripleta de implante al interior del Aplicativo Web de Tecnovigilancia, con acceso y permisos.
</t>
  </si>
  <si>
    <t>Módulos para la notificación y consulta en línea de los 
reportes inmediatos y trimestrales de eventos e incidentes adversos asociados al uso y trazabilidad de los dispositivos médicos implantables en el país.</t>
  </si>
  <si>
    <t xml:space="preserve">Implementar módulos informáticos de notificación ONLINE de eventos e incidentes adversos trimestrales, Recall, Informes de Seguridad, Alertas y Hurtos - RISARH y la trazabilidad de los dispositivos médicos. </t>
  </si>
  <si>
    <t xml:space="preserve">De las actividades a destacar  en lo referente al proyecto de Validación de la implementación del aplicativo Online para inscripción y recepción de reportes del Programa Nacional de Reactivovigilancia se ha realizado la selección de los participantes (importadores y prestadores de servicios de salud) para la prueba piloto y la apertura de los eventos con la participación de los mismos, posterior a esto se ha consolidado la información y las observaciones encontradas dentro de la prueba piloto y la definición, verificación e implementación de ajustes.
</t>
  </si>
  <si>
    <t>• El proyecto de Validación de la implementación del aplicativo Online para inscripción y recepción de reportes del Programa Nacional de Reactivovigilancia, busca Agilizar los procesos de captura y gestión de información relacionados con la Red Nacional de Reactivovigilancia y datos de monitoreo, por medio de este aplicativo se Fortalecerá la recolección y consolidación sistemática de la información relacionada con el uso de los reactivos de diagnóstico in vitro con el fin de gestionar oportunamente la información que, permitiendo adelantar oportunamente acciones de Vigilancia sanitaria pos comercialización de los reactivos de diagnóstico in vitro, las actividades para este reporte se han realizado en capacitaciones a IPS e importadores, en la parte de validación se encuentran pendientes los ajustes necesarios de acuerdo a de acuerdo a las observaciones emitidas por los usuarios IPS Y Importadores, se encuentra en validación los resultados obtenidos de las pruebas realizadas 
•  El proyecto de Validación de la Implementar la  metodología de señalización (SIGNAL) y gestión de señales para reactivos de diagnóstico in vitro del Programa Nacional de Reactivovigilancia, con el cual se busca que  los reportes de efectos indeseados,  sean analizados, con el fin de identificar los nexos causales entre los reactivos de diagnóstico in vitro y la ocurrencia de eventos adversos y/o incidentes, para tomar las medidas de vigilancia postcomercialización de reactivos de diagnóstico in vitro, por medio de la implementación de  la metodología SIGNAL y la gestión de señales para el Programa Nacional de Reactivovigilancia. La ejecución se esta realizando mediante convenio No 200 de 2015 con la  Universidad Nacional, se encuentra en capacitan a los profesionales del Grupo de Vigilancia Epidemiológica, en la metodología de  señalización por parte de la Universidad Nacional, se han presentado avances  relacionados con presentación de resultados de la aplicación e implementación de la metodología  SIGNAL y una base parame trizada de los reportes efectos indeseados correspondiente a los años 2011 a abril del 2015 donde se muestran 147 reportes de reactivos de diagnóstico in vitro por parte de la UNAL.</t>
  </si>
  <si>
    <t>Aplicativo de diligenciamiento de reportes de inscripción de a la red,  reportes FRIARH y reportes de efectos indeseados por parte de los usuarios del Programa Nacional de Reactivovigilancia.</t>
  </si>
  <si>
    <t>Validación de la implementación del aplicativo Online 
para inscripción y recepción de reportes del Programa Nacional de Reactivovigilancia.</t>
  </si>
  <si>
    <t>Fortalecer la recolección y consolidación sistemática de la información relacionada con el uso de los reactivos de diagnóstico in vitro con el fin de gestionar oportunamente la información que, permitiendo adelantar oportunamente acciones de Vigilancia sanitaria pos comercialización de los reactivos de diagnóstico in vitro.</t>
  </si>
  <si>
    <t xml:space="preserve">Documento con priorización de señales elaborado por la Universidad Nacional de Colombia.
- Informe de conceptos de señalización emitidos por la sala especializada.
</t>
  </si>
  <si>
    <t>Implementar la  metodología de señalización (SIGNAL) y 
gestión de señales para reactivos de diagnóstico in vitro.</t>
  </si>
  <si>
    <t>Implementar la metodología SIGNAL y la gestión de señales para el Programa Nacional de Reactivovigilancia.</t>
  </si>
  <si>
    <t xml:space="preserve">Como resultado de las acciones ejecutadas en el marco del programa en mención se ha dado inicio a las fases de diseño y planificación alcanzando avances en la formulación de planes de muestreo y elaboración de instrumentos de aplicación para monitoreo de microorganismos patógenos e indicadores y el proyecto de verificación oficial, cada uno de los proyectos se encuentra dentro de los tiempos y actividades planeadas en el proceso de formulación donde se contemplaron los aspectos de complejidad tanto técnica y científica para su ejecución.
</t>
  </si>
  <si>
    <t>En el programa se  inician los muestreos a los 21 programas para monitoreo y verificación para los productos:  leche en polvo importados, Agua, Queso, Cafeina, Leche, Bebidas y refrescos, Harina, Pesca 2015, Sal, se controla el monitoreo mediante cuadros de control semanal de programación, toma y envío de muestras, además de los listados de priorización de establecimientos, de programación de visitas y logística de muestreo por parte del GTT/DIROS  (INVIMA), de los productos como: quesos, bebidas energizantes, quesos frescos, agua envasada y leche en polvo, los demás productos están para el segundo semestre, como evidencia se encuentran las actas de toma de muestras en los establecimientos seleccionados, Seguimiento de toma de muestras y transporte de la misma y cuadro de seguimiento a la programación de toma y envió de muestras</t>
  </si>
  <si>
    <t>Análisis de muestras tomadas por el Instituto en el que se identifican y evalúan los peligros asociados con el consumo de alimentos y bebidas a nivel nacional: leche en polvo importados, Agua, Queso, Cafeina, Leche, Bebidas y refrescos, Harina, Pesca 2015, Sal</t>
  </si>
  <si>
    <t>Proyecto de Monitoreo de Microorganismos Patógenos e 
Indicadores.</t>
  </si>
  <si>
    <t>Muestreo y envío a laboratorios para determinar la conformidad de las materias primas, productos elaborados o importados en el territorio nacional.</t>
  </si>
  <si>
    <t>Proyecto de Verificación Oficial</t>
  </si>
  <si>
    <t xml:space="preserve">
Verificar con base en reportes analíticos el cumplimiento de los requisitos legales y parámetros establecidos para los alimentos y bebidas. 
</t>
  </si>
  <si>
    <t xml:space="preserve">El programa cumple con las variables de tiempo y ejecución de actividades de cada uno de los proyectos en donde se identifican los siguientes avances:
• Proyecto de monitoreo del contenido de nutrientes presentados en las tablas nutricionales y sujetos a declaraciones nutricionales o de salud en los alimentos: en el desarrollo de este proyecto se han formulado los planes de muestro, elaboración de instrumentos de aplicación y la definición de estudios previos para el proceso de transporte y manejo integral de las muestras tomadas por el INVIMA.
</t>
  </si>
  <si>
    <t xml:space="preserve">•  Se encuentra en proceso las actividades de toma y envió de muestras, programación y coordinación del muestreo de tercerización y seguimiento a tercer izados de servicios de análisis adicional se cuenta con el documento plan de monitoreo del contenido de nutrientes el cual contiene diseño estadístico, programación de toma de muestras por GTT.
•  Se ha llevado a cabo la toma de muestras en aguas, bebidas energizantes, bebidas lacteas,bebidas y refrescos, Campylobacter en pollo, E.Coli Triming (Bovinos), Salmonella (pollo y pasta de pollo), Harina de trigo,pesca, queso, sal, Listeria, leche.
En cuanto a análisis de muestras tomadas por el Invima se ha recibido los resultados no aceptables los cuales se ha informado y se han tomado las medidas sanitarias q que haya lugar.  </t>
  </si>
  <si>
    <t xml:space="preserve">Muestreo y envío a laboratorios para análisis de: Sal, harina de trigo, grasas y aceites, alimentos que en su rotulo presentan etiquetado nutricional (jugos, refrescos, néctares, bebidas, derivados lácteos, cacao y sus derivados, caramelos, cereales para el desayuno, snacks, productos de panadería, pastas alimenticias, derivados cárnicos) con el que se generará información para plantear estrategias de gestión y comunicación, se evaluaran riesgos y se identificaran necesidades de capacitación y formación. </t>
  </si>
  <si>
    <t>Proyecto de monitoreo del contenido de nutrientes presentados en las tablas nutricionales y sujetos a declaraciones nutricionales o de salud en los alimentos.</t>
  </si>
  <si>
    <t xml:space="preserve">Realizar estudios exploratorios para diagnosticarla situación acerca del aporte de micro y macro-nutrientes en los alimentos que se comercializan o publicitan con beneficios nutricionales 
</t>
  </si>
  <si>
    <t xml:space="preserve">Análisis de muestras tomadas por Invima con el que se contribuye a la protección de la salud del consumidor que pemitieron la vigilancia y Controlar en los establecimientos productores de alimentos y bebidas el cumplimiento de los parámetros establecidos por política de nutrición nacional. 
*Determinación de la conformidad de las materias primas, productos elaborados o importados, con los requisitos legales y parámetros establecidos  de fortificación y control del contenido de Macro/micro nutrientes acorde con la política Nacional.
*Establecimiento de controles de producción
Para los productos: Sal, Harina de trigo, grasas y aceites
</t>
  </si>
  <si>
    <t>Proyecto de Verificación Oficial de Alimentos Fortificados con Micro- nutrientes y control del contenido de Macro/micro-nutrientes, por Política Nacional.</t>
  </si>
  <si>
    <t>Verificar con base en reportes analíticos el cumplimiento de los requisitos legales y parámetros establecidos para el aporte de micro y macro-nutrientes.</t>
  </si>
  <si>
    <t>el Invima planeo, formulo 3 proyectos que dan respuesta al compromiso planeado</t>
  </si>
  <si>
    <t>Los proyectos asociados a este programa han realizado en un 90% sus fases de diagnóstico y planificación con el desarrollo de las actividades de: priorización de productos y sustancias objeto de análisis, diseños estadísticos, estudios previos para procesos licitatorios y establecimiento de lineamientos, esta fase desarrollada contiene actividades técnicas similares para todos los proyectos las cuales son direccionadas de acuerdo al objeto y temáticas establecidas en cada uno de ellos.</t>
  </si>
  <si>
    <t>•  Para productos hortofrutícolas: En el mes octubre se planea el inicio de toma de muestras ( esta actividad depende de la firma del contrato de transporte  e insumos en proceso de adjudicación) en los departamentos de: Antioquia, Atlantico,Huila, Meta,Nariño,Norte de Santander,Quindio,Risaralda,Santander y Valle para las centrales de abastos. A la fecha se ha realizado un aproximado de 250 tomas de muestras de acuerdo a lo programado.  A la fecha se ha recibido un total de 30 análisis. 
•  Para productos de origen animal para el consumo humano: Los grupo de sustancias a analizar, compuesto,tejido a analizar número de muestras y laboratorio para aves, bovinos, porcinos y huevo.
Se adjudicó la licitción a tres laboratorios externos (LMB, VIAMED,AINIA) para el análisis de los grupos de sustancias definidas,   se definen lineamientos a los contratistas, Se han programado un  total de 4.480 muestras en el total de los productos.
• Para alimentos procesados: En lo referente a la actividad de toma de muestras se ha logrado los siguientes avances:
*Acrilamida: Se ha tomado un total de 152 muestras con productos nacionales en lo relacionado a pan blanco, tostado y café tostado). Productos importados: referente a galletas; Para análisis de acrilamida 102 resultados analizados;  Aflatoxinas y conservantes en arepas 80 muestras.
* Plaguicidas, metales pesados y otros contaminantes químicos en agua envasada: en los productos nacionales se ha iniciado la toma de muestras, se han ejecutado 55 muestras.</t>
  </si>
  <si>
    <t xml:space="preserve">Monitoreo y vigilancia de los residuos de plaguicidas y metales pesados que pueden estar en los productos hortofrutícolas:Aguate, Tomate, Tomate de árbol, Yuca, Plátano, Banano nacional, exportación e importación, Arroz Nacional e importado, papa, Melón, Sandía, Guayaba, Maracuyá, Zanahoria, mango, cebolla de bulbo nacional e importada.
*Certificados de análisis de laboratorio.
*Comunicación de resultados no conformes.
*Identificación de los riesgos para la salud del consumidor
*Definición de lineamientos para IVC-INVIMA- ICA
*Documento de priorización de predios para el control  por parte del ICA
</t>
  </si>
  <si>
    <t>Vigilancia de residuos de plaguicidas y metales pesados en productos hortofrutícolas.</t>
  </si>
  <si>
    <t xml:space="preserve">Muestreo y análisis de laboratorio para los productos de origen animal: carne aviar, carne porcina, carne bovina y huevos.
*Determinación de los niveles de residuos y mitigando el riesgo en la salud del consumidor
*Análisis de los resultados obtenidos de residuos de medicamentos veterinarios, plaguicidas y contaminantes químicos.
*Identificación de los riesgos para la salud del consumidor.
*Definición de lineamientos para IVC-INVIMA- ICA.
* Elaborción del documento de priorización de predios para el control  por parte del ICA
</t>
  </si>
  <si>
    <t>Vigilancia de residuos de medicamentos veterinarios, plaguicidas y contaminantes químicos en productos de origen animal.</t>
  </si>
  <si>
    <t xml:space="preserve">Realizar monitoreo y vigilancia de los residuos de medicamentos veterinarios, plaguicidas y contaminantes químicos que puedan estar presentes en productos de origen animal para el consumo humano. </t>
  </si>
  <si>
    <t>Monitoreo y vigilancia de los residuos de plaguicidas y contaminantes químicos que puedan estar presentes en alimentos procesados (arepas, agua potable envasada, panela, pan blando y tostado, galletas, papas en paquete, papas a la francesa precocida congelada, café en grano y molido).
*Análisis de los resultados obtenidos de residuos de plaguicidas y contaminantes químicos en los alimentos procesados.
*Identificación de riesgos para salud del consumidor
*Definición de lineamientos para IVC-INVIMA.
*Elaboración de Documento de priorización de establecimientos para su control por la Dirección de Operaciones Sanitarias.
*Revisión y selección de establecimientos  según resultados obtenidos, de acuerdo a la normatividad vigente.</t>
  </si>
  <si>
    <t>Vigilancia de Residuos de plaguicidas y contaminantes químicos alimentos procesados.</t>
  </si>
  <si>
    <t xml:space="preserve">El desempeño del programa se encuentra bajo los lineamientos relacionados con el tiempo y las actividades según lo planeado y los resultados obtenidos hasta la fecha son los siguientes:
• Diseño de la herramienta para notificación de los problemas relacionados con alimentos y pruebas piloto (internas y externas) de la implementación del aplicativo.
• Depuración de bases de datos desde el año 2012 a la fecha como insumo para el análisis de señalización y gestión de señales para los productos competencia de la Dirección de Medicamentos y Productos Biológicos.
• Informe de diagnóstico de la comunicación entre los entes territoriales y el INVIMA y definición de los referentes de los entes territoriales de salud  en lo relacionado con implementación de la Red Nacional de Farmacovigilancia.
</t>
  </si>
  <si>
    <t xml:space="preserve">Se realizaron ajustes en el aplicativo, en la pagina web del Instituto se publicó el "Tutorial para el reporte de eventos adversos" y se notificó en las guias-circulaes que ya se encontraba el reporte en línea disponible a partir del 3 de Agosto. (Ruta https://www.invima.gov.co/index.php?option=com_content&amp;view=article&amp;id=764:farmacovigilancia&amp;catid=191:farmacovigilancia&amp;Itemid=323), adicionalmente se generó documentos-tutoriales dirigidos al usuario que explican la manera de reportar en línea y la manera de inscribirse en la red nacional de farmacovigilancia, publicado en la página web del Instituto. (Ruta: https://www.invima.gov.co/index.php?option=com_content&amp;view=article&amp;id=3608%3Areporte-de-eventos-adversos-a-medicamentos&amp;catid=191%3Afarmacovigilancia&amp;Itemid=323)
Se ha hecho la divulgación vía telefónica, mediante correo electrónico además en la pagina web mediante la circular 600775815. (Ruta: "https://www.invima.gov.co/index.php?option=com_content&amp;view=article&amp;id=3614%3Acircularesn&amp;catid=191%3Afarmacovigilancia&amp;Itemid=323")
</t>
  </si>
  <si>
    <t xml:space="preserve">Herramienta de reporte en línea para la notificación de eventos asociados a los problemas relacionados con medicamentos.
*Consolidación de la información relacionada con PRM para  identificación de riesgos asociados al uso de medicamentos para establecer medidas de mitigación y de apoyo en procesos de análisis e investigaciones farmacoepidemiológicas.
*Gestión de los reportes de problemas relacionados con medicamentos en tiempo real y oportuno.*Generación de nformación para detectar señales referentes a la seguridad de los medicamentos competencia de la dirección.
</t>
  </si>
  <si>
    <t>Validación de la Herramienta para la notificación de los  reportes de eventos asociados a los problemas relacionados con medicamentos (reporte en línea)</t>
  </si>
  <si>
    <t>Gestionar oportunamente la información relacionada con el uso de medicamentos, permitiendo adelantar de manera oportuna acciones de vigilancia sanitaria postcomercialización.</t>
  </si>
  <si>
    <t xml:space="preserve">*Realización de pruebas con información de la base de datos SIVICOS.
*Análisis de los resultados obtenidos mediante la metodología SIGNAL.
</t>
  </si>
  <si>
    <t>Implementación de la metodología de señalización (signal) y gestión de señales para los productos competencia de la dirección de medicamentos y productos biológicos</t>
  </si>
  <si>
    <t>Implementar la metodología (SIGNAL) y la gestión de señales para el programa nacional de farmacovigilancia.</t>
  </si>
  <si>
    <t>Lineamientos para el funcionamiento de la Red Nacional de Farmacovigilancia en los entes territoriales de salud (secretarias departamentales y distritales de salud)</t>
  </si>
  <si>
    <t>Implementación de la Red Nacional de farmacovigilancia</t>
  </si>
  <si>
    <t>Fortalecer la comunicación entre los actores del programa nacional de farmacovigiliancia a nivel  local, regional,  y nacional.</t>
  </si>
  <si>
    <t xml:space="preserve">El avance del programa se puede ver reflejado en el desarrollo de las actividades programas para el primer semestre del año donde de acuerdo a los cronogramas establecidos en la formulación del proyecto arrojando como resultado:
• Identificación de productos productos a intervenir en la vigencia, priorización de toma de muestras y elaboración de material de apoyo para la capacitación de los resultados de la vigencia 2014 relacionados con calidad de productos de competencia de la Dirección de Cosméticos, aseo, plaguicidas, y productos de higiene doméstica.
• Elaboración del mapa de priorización de muestreo por riesgo, inclusión de establecimientos sujetos de muestreo en el formato único de programación de IVC relacionados con la calidad de dispositivos médicos y otras tecnologías.
• Definición de los principios activos para el programa Demuestra la calidad 2015 y realización de capacitaciones para impartir directrices a las seccionales territoriales de salud de los principios activos, cantidades y fechas propuestas paras las tomas de muestras de los medicamentos priorizados.
</t>
  </si>
  <si>
    <t xml:space="preserve">El avance del programa se refleja en: 
• Se han tomado 51 muestras de las 72 programas para productos Cosméticos, Aseo, Plaguicidas y Productos de Higiene Doméstica en: Shampoo anticaspa, Repelentes de insectos, Contorno de ojos, Jabones íntimos, estas se encuentran en proceso de realización de análisis por parte del laboratorio.
Además se han socializado los resultados de la toma de vigencia 2014 y se profundiza en productos de protección solar, geles antibacteriales, cremas dentales y alisadores de cabello, entre otros, en las ciudades de Medellín, santander y Cali.
• El avance en Dispositivos Médicos se realizó la toma de muestras para Para guantes, las cuales ya fueron analizadas por el laboratorio, se informo al fabricante y se tomaron las medidas sanitarias de acuerdo a los resultados arrojados. 
Para preservativos se tomo el total de las muestras y se encuentran a aún en proceso de análisis microbiologico algunas de ellas. Se realizaron los informes pertinentes de los resultados no conformes y se tomaron las medidas sanitarias. Para jeringas de las 10 tomas de muestras para jeringas se han realizado 3 visitas y se encuentran en proceso de análisis por parte del laboratorio. 
•Para Medicamentos se van a realizar 3 tomas de muestras de las cuales ya se realizó la primera  toma de muestras a los  principios activos determinados, las cuales ya se encuentran en el laboratorio y está en proceso de análisis; de la segunda se ha tomado el 51% de 400 muestras del principio activo, se tomaron 230. 
Se han llevado a cabo 4 capacitaciones a los entes territoriales para la toma de muestras de los principios activos de los productos. </t>
  </si>
  <si>
    <t>Terminación de las actividades de muestreo y envío a laboratorios para respectivo análisis, que determinará confiabilidad de los productos para consumo bajo las  condiciones normales o razonablemente previstas para su uso.</t>
  </si>
  <si>
    <t>Demuestra la Calidad de Productos competencia de la 
Dirección de Cosméticos, Aseo, Plaguicidas y Productos de Higiene Doméstica</t>
  </si>
  <si>
    <t xml:space="preserve">Comprobar a través de muestreos aleatorios, el cumplimiento de condiciones de calidad y seguridad de los productos competencia de la Dirección que se están comercializando dentro del país, en el marco del Sistema Nacional de Vigilancia Sanitaria. </t>
  </si>
  <si>
    <t>Toma de muestras y realización de análisis de control de calidad para 5 dispositivos médicos: condones, jeringas, guantes de látex, catéteres y equipos de macrogoteo. 
Resultados de los análisis de calidad del producto muestreado.</t>
  </si>
  <si>
    <t>Demuestra de la calidad de Dispositivos Médicos</t>
  </si>
  <si>
    <t xml:space="preserve">Muestreo a 15 principios  activos identificados a través del mapa de riesgo de la institución:
Ácido Valproico (cápsulas, jarabe)
Fenitoina cápsulas
Carbamazepina tabletas
Metronidazol suspensión oral
Albendazol (suspensión ora y tabletas)
Midazolam solución inyectable
Oxitocina solución inyectable
Piperacilina tazobactam polvo para reconstituir
Levonorgestrel tabletas
Fluconazol tabletas
Warfarina tabletas
Gabapentina cápsulas
Isotretinoina cápsula
Vacuna fiebre amarilla
Vacuna hepatitis B
- Análisis informe de resultados de calidad de las muestras por parte del laboratorio Invima.
</t>
  </si>
  <si>
    <t>Demuestra la Calidad de Medicamentos y Productos 
Biológicos</t>
  </si>
  <si>
    <t>el Invima planeo, formulo 5 proyectos que dan respuesta al compromiso planeado</t>
  </si>
  <si>
    <t xml:space="preserve">El programa de IVC sanitario con enfoque de riesgos ha gestionado el avance de sus proyectos mediante la verificación del cumplimiento de las actividades y cronogramas de trabajo alcanzando así los siguientes resultados:
• Cargue y análisis del 75% de establecimientos vigilados y coordinación del plan de visitas SOA en lo relacionado la implementación del modelo IVC basado en riesgos IVC-SOA.
• Elaboración de informe de diagnóstico de puertos por parte de la Dirección de Operaciones en el marco del diseño de implementación del modelo IVC con enfoque de riesgos para puertos, aeropuertos y pasos fronterizos.
• Implementación de la encuesta web de situación actual de las Entidades Territoriales de Salud (ETS) y establecimiento de conclusiones de diagnóstico IVC con ETS.
• Compilación de censos de establecimientos objeto de IVC por parte de las ETS y diseño del instrumento para levantamiento de diagnóstico en el marco de la articulación y coordinación de la vigilancia sanitaria con enfoque de riesgos para las ETS.
En cuanto al avance del proyecto de Mapas de Inspección, Vigilancia y Control  (Geo-referenciadas) IVC/SOA  Georeferenciado, las actividades pertenecientes a él se desarrollarán durante el segundo semestre del año en donde se dará inicio  en el mes de agosto con la fase de Geo-referenciación de los establecimientos y la culminación del proyecto en el mes de Diciembre con la fase de análisis espacial de la información sanitaria de los establecimientos objeto de vigilancia lo anterior regido por lo establecido en el cronograma de trabajo.
</t>
  </si>
  <si>
    <t xml:space="preserve">El avance del programa se encuentra: 
•Para la Implementación del Modelo de Inspección, Vigilancia y Control  basado en riesgos IVC- SOA:   El Módulo de captura de la información de IVC SOA" (aplicativo web), esta en periodo de prueba y se solicitará realizar ajustes pertinentes. Este aplicativo cuenta con perfiles definidos (Consulta general, Administrador, Técnico) y clasificación de los estableciminetos y nivel de riesgos.
Se tienen 8 fuentes de información sobre las cuales se está requiriendo y se tiene un plan de trabajo para la definición de interfaces.
Se tiene implementada la plantilla unificada de visitas la cual esta siendo utilizada en algunas direcciones misionales.
Se generó informe " PERFIL DE RIESGO DE LOS ESTABLECIMIENTOS VIGILADOS RESULTADOS el cual se socializó al interior del Instituto.
• Para el Diseño e implementación del modelo de Inspección, Vigilancia y Control con enfoque de riesgos para las Entidades Territoriales de Salud - E.T.S: se realizó presentación a ETS, el modelo ya fue presentado a las Entidades territoriales en conjunto con la Dirección de Alimentos, se llevaron a cabo 3 encuentros.
• Mapas de Inspección, Vigilancia y Control  (Geo-referenciadas) IVC/SOA  Georeferenciado: Junto con La Oficina de tecnologías de la información se visitó al Ministerio y se observo la herramienta que ellos manejan (georreferenciación) y se determino que ésta era funcional para el Instituto, razón por la cual no se contratarán los servicios de diseño e implementación de la plataforma.
•Articulación y coordinación de la vigilancia sanitaria con enfoque de riesgo en las entidades territoriales de salud: se realizo primer encuentro regional de IVC de alimentos y Bebidas basado en riesgo dirigidas a EST (5 y 6 , 11 y 12 y 13 y 14 de agosto de 2015) el cual participaron 27 de 37 ETS, quedando programado por visitar (Choco, Sta Martha "Magdalena. Guajira, Cesar y Cordoba", Vichada, Guainia, Caquetá) para realizar la asistencia programada.
</t>
  </si>
  <si>
    <t xml:space="preserve">Modelo IVC-SOA basado en riesgos el cual prioriza el 100% de los establecimientos objeto de vigilancia del Instituto.
Modelo IVC SOAque incluye la calificación de riesgos de los establecimientos relacionados con los siguientes tipos de productos:
a) Alimentos 
b) Carnes
c) Medicamentos 
d) Bancos de Sangre
e) Cosméticos
f) Dispositivos médicos
g) Banco de tejidos
Formulación de los requerimientos funcionales para el desarrollo de las ocho fuentes de información que éste requiere. 
</t>
  </si>
  <si>
    <t xml:space="preserve">Implementación del Modelo de Inspección, Vigilancia y Control  basado en riesgos IVC- SOA </t>
  </si>
  <si>
    <t xml:space="preserve">Aprobación del diseño del modelo de Inspección, Vigilancia y Control con enfoque de riesgos para puertos, aeropuertos y pasos de frontera en los puertos de:Buenaventura, Santa Marta, Barranquilla, Cartagena; los aeropuertos de Bogotá, Palmira y Rionegro; y los pasos de frontera de Leticia, Arauca, Paraguachon, Cúcuta, San  Miguel e Ipiales.
Generarción de información sobre los niveles de riesgos por productos, país, importador y fabricante e integracuón al aplicativo SIVICOS.
</t>
  </si>
  <si>
    <t>Diseño e implementación del modelo de Inspección, Vigilancia y Control con enfoque de riesgos para para puertos, aeropuertos y pasos de frontera.</t>
  </si>
  <si>
    <t>Diseñar e implementar del modelo de Inspección, Vigilancia y Control con enfoque de riesgos para para puertos, aeropuertos y pasos de frontera.</t>
  </si>
  <si>
    <t xml:space="preserve">Diseño del Modelo para E.T.S.
- Elaboración de instrumentos. 
- Adopción formal de los instrumentos.
</t>
  </si>
  <si>
    <t>Diseño e implementación del modelo de Inspección, Vigilancia y Control con enfoque de riesgos para las Entidades Territoriales de Salud - E.T.S.</t>
  </si>
  <si>
    <t>Diseñar e implementar el modelo de inspección, vigilancia y control con enfoque de riesgos para las Entidades Territoriales de Salud.</t>
  </si>
  <si>
    <t>Generación de los primeros reportes multivariados con apoyo del Ministerio de Salud</t>
  </si>
  <si>
    <t>Mapas de Inspección, Vigilancia y Control  (Geo-referenciadas) IVC/SOA  Georeferenciado</t>
  </si>
  <si>
    <t>Diseñar e implementar mapas de riesgos sanitarios georeferenciados con base en la información que provee el modelo de Inspección, Vigilancia y Control,  IVC-SOA.</t>
  </si>
  <si>
    <t xml:space="preserve">*Elaboración de formatos y guías de IVC con enfoque de riesgo por tipo de establecimiento de propósito general.
*Documentos técnicos soportes para las acciones de IVC, capacitación y asistencia técnica e inscripción de establecimientos.
*Acompañamiento a las ETS en la aplicación de los formatos y guías de IVC con enfoque de riesgo.
</t>
  </si>
  <si>
    <t>Articulación y coordinación de la vigilancia sanitaria con enfoque de riesgo en las entidades territoriales de salud</t>
  </si>
  <si>
    <t>el Invima planeo, formulo  2 proyectos que dan respuesta al compromiso planeado</t>
  </si>
  <si>
    <t xml:space="preserve">Los aspectos a destacar para este programa se enmarcan en:
• Diseño de planes y cronogramas de trabajo para los países priorizados para exportación de alimento, levantamiento de la normatividad  y definición de la oferta exportable de medicamentos cosméticos y dispositivos médicos.
• Obtención de insumos básicos para estudio y priorización y elaboración de cronogramas de trabajo para el proyecto de convergencia normativa nacional e internacional.
</t>
  </si>
  <si>
    <t xml:space="preserve">El avance del programa se refleja en: 
•Se desarrolla el plan de trabajo para los mercados priorizados para expo de alimentos, mediante el desarrollo de reuniones o actividades especificas con autoridades sanitarias homologas de mercados de interés para dinamizar los objetivos de admisibilidad, con los siguientes actores:Minicomercio, ICA, PTP.Procolombia, Miniagricultura y gremios (Bovino,aviar,porcino y lácteo).
•Se llevó a cabo el levantamiento de información relevante para estructurar y desarrollar la priorización de países y productos en relación con las normas  jurídicas relevantes, Se elaboró el modelo de matrices en las cuales se consigna la información relevante de los aspectos relativos al monitoreo y evaluación de la normatividad vigente, los cuales serán de utilidad en el desarrollo del programa para la adopción de un modelo propio para el INVIMA como objetivo principal del mismo efectuando un análisis de los componentes de la matriz definiendo los enlaces para la obtención de información, se llevó a cabo el suministro de información como insumo para la matriz conjunta de levantamiento de información priorizada por países de relevancia directa y actual para el INVIMA, se determinaron puntos críticos para mejorar el proceso de armonización, se llevó a cabo la división de suministro de información dado que en la identificación de puntos críticos se evidencio la necesidad de dar trámite a las notificaciones remitidas por la OMC, filtrando por relevancia y competencia los temas de estudio, en dos matrices así: a) matriz conjunta de levantamiento de información priorizada por países de relevancia directa y actual para el INVIMA y b) Matriz de seguimiento a las consultas públicas vigentes que se remite por parte de la OMC, con el fin de hacer un filtro de información para el análisis respectivo de la competencia jurídica.  De esta manera se efectuó la identificación de puntos críticos.
</t>
  </si>
  <si>
    <t xml:space="preserve">Definción del plan de trabajo para los mercados priorizados en exportación de alimentos.
Elaboración de Piezas comunicativas
</t>
  </si>
  <si>
    <t>Estrategia para el apoyo a la industria colombiana en el acceso sanitario y aprovechamiento de mercados internacionales de interés</t>
  </si>
  <si>
    <t xml:space="preserve">
Realizar a través de una gestión articulada entre el INVIMA, autoridades nacionales e internacionales competentes, gremios e industria, acciones que promuevan resultados en el acceso sanitario y aprovechamiento de mercados internacionales.
</t>
  </si>
  <si>
    <t xml:space="preserve">*laboración de la matriz de información de regulación de entidades con incidencia en temas sanitarios.
*Determinación de puntos críticos para mejorar el proceso de armonización.
</t>
  </si>
  <si>
    <t>Convergencia  normativa nacional e internacional.</t>
  </si>
  <si>
    <t xml:space="preserve">Mejorar  el proceso de armonización normativa </t>
  </si>
  <si>
    <t>el Invima planeo, formulo 7 proyectos que dan respuesta al compromiso planeado</t>
  </si>
  <si>
    <t xml:space="preserve">Durante el proceso de fortalecimiento del SIG y la ejecución de los proyectos contenidos dentro de dicho programa se han desarrollado las siguientes actividades que reflejan el nivel de avance alcanzado a la fecha:
• Presentación de la nueva arquitectura de procesos, elaboración de nuevos formatos para procesos y macro procesos e instructivo de migración documental, modificación del manual de calidad y definición de indicadores de gestión por procesos.
• En cuanto al Sistema de Gestión Ambiental se ha realizado la definición del alcance del trabajo a realizar y  el diagnóstico ambiental.
• Formulación de lineamientos, estrategias y actividades para recolección de información como insumo para la evaluación del diagnóstico del modelo de atención al ciudadano más adecuado para el INVIMA.
</t>
  </si>
  <si>
    <t xml:space="preserve">El avance del programa se refleja en: 
•Para la actividad "Programación y realización de auditorías internas y externas" se está realizando la última auditoria interna programada a Laboratorios. La auditoria externa esta programada para el 26 de Noviembre.
•La Documentación del Sistema de Gestión Ambiental" fue desarrollada en su totalidad.
Manual del Sistema de Gestión Ambiental
·         Procedimiento de identificación, accesos y evaluación de requisitos legales ambientales y otros.
·         Procedimiento de Identificación y valoración de impactos ambientales.
·         Procedimiento de manejo seguro de sustancias peligrosas.
·         Procedimiento de Gestión integral de residuos.
·         Ajustes al procedimiento de Auditoría interna
·         Programa de gestión de residuos.
·         Programa menos papel, ¡más gestión!
·         Programa uso eficiente y ahorro del agua
·         Programa uso eficiente y ahorro de energía
• Se ha realizado la actualización de la documentación, el proceso de auditorias internas se viene trabajando dentro del cronograma establecido, se ha puesto en producción de los procedimientos de Confidencialidad, Acciones Correctivas y Preventivas.
•  Se elaboro y actualizó la matriz de factores de riesgo se encuentra disponible en la página del Instituto (https://www.invima.gov.co/index.php?option=com_content&amp;view=article&amp;id=4007%3A2015&amp;catid=274%3Agestion-de-talento-humano&amp;Itemid=74), la cual se presenta a nivel nacional dando 21 matrices como resultado para el 2015, se realizo un compendio normativo de requisitos legales de la NTC-OHSAS 1801:2007" el cual esta siendo revisado y valorado. Se realice la actualización y levantamiento de planes de emergencia arrojando 26 planes de emergencia a nivel nacional que corresponden a cada sede, las cuales están disponibles en (https://www.invima.gov.co/index.php?option=com_content&amp;view=article&amp;id=4009%3A2015-planes-de-emergencia&amp;catid=274%3Agestion-de-talento-humano&amp;Itemid=74).
• En el diagnostico del modelo de atención al ciudadano se han realizado las actividades de:  análisis de la información de datos estadísticos, comparación de cantidad de tramites por Dirección misional recibidos, Identificación de tendencia de tramites durante 2013 a 2015, porcentajes de participación en tramites por dirección misional 2013-2015, turnos atendidos por actividad, porcentaje de tramites por canales (presencial, virtual, correspondencia, presencial CD), % de notificación electrónicamente, análisis de tiempos y movimientos de ventanilla de alimentos para identificar necesidad de personal. 
• Sensibilización en temas de servicio: por medio del proceso de acompañamiento por el Departamento Nacional de planeación (DNP) y programa nacional de servicio al ciudadano (PNSC), el día 4 de septiembre de 2015 realizan sensibilización en temas de servicio a 35 funcionarios del Invima, Programa de entrenamiento, servicio al usuario para funcionarios del Invima: se recibe propuesta por parte de la universidad de la sabana para realizar entrenamiento teórico práctico en temas de servicio, con intensidad horaria de 16 horas y con aprobación de 75 cupos dividido en 3 grupos de 25 funcionarios.
</t>
  </si>
  <si>
    <t xml:space="preserve">Modificación del manual de calidad.
- Realización de auditorías internas y externas.
- Revisión por dirección del sistema de gestión Integrado.
</t>
  </si>
  <si>
    <t>Implementación nueva arquitectura de procesos</t>
  </si>
  <si>
    <t>Implementar la nueva arquitectura de procesos aprobada por la Dirección General del Instituto</t>
  </si>
  <si>
    <t xml:space="preserve">*Elaboración del Diagnóstico ambiental.
*Recolección de la documentación del sistema de gestión ambiental.
</t>
  </si>
  <si>
    <t>Desarrollo del  sistema de gestión ambiental</t>
  </si>
  <si>
    <t xml:space="preserve">Diseñar e implementar el Sistema de Gestión Ambiental SGA  del Invima con base en los requisitos de la norma técnica ISO 14001:2004. </t>
  </si>
  <si>
    <t xml:space="preserve">*Elaboración de la Matriz de requisitos comunes.
*Actualización de la documentación.
</t>
  </si>
  <si>
    <t>Integración ntc iso 9001:2008 – ntcgp 1000:2009 y ntc iso/iec 17025:2005</t>
  </si>
  <si>
    <t>Integrar el Sistema de Gestión de Calidad y de Laboratorios en los requisitos comunes a las normas aplicables</t>
  </si>
  <si>
    <t xml:space="preserve">*Elaboración de la Matriz de requisitos legales de la NTC-OHSAS 1801:2007.
*Informe del diagnóstico para determinar la viabilidad de la implementación NTC OHSAS 18001:2007 con las recomendaciones necesarias de las matrices de riesgo, de requisitos legales y de planes de emergencia.
</t>
  </si>
  <si>
    <t>Diagnostico para la implementación ntc ohsas 18001:2007</t>
  </si>
  <si>
    <t>Determinar la viabilidad para la implementación de NTC OHSAS 18001:2007</t>
  </si>
  <si>
    <t>Informe del modelo de servicio adecuado para el Invima</t>
  </si>
  <si>
    <t>Diagnóstico del modelo de atención al ciudadano más adecuado para el Invima.</t>
  </si>
  <si>
    <t xml:space="preserve">Identificar un modelo de atención al ciudadano que se ajuste a las necesidades del INVIMA para la prestación de servicio. </t>
  </si>
  <si>
    <t>Informe final de resultados con el análisis de la información recolectada en las capacitaciones institucionales relacionada a temas de servicio.</t>
  </si>
  <si>
    <t>Capacitación en servicio y atención al ciudadano a los funcionarios del INVIMA.</t>
  </si>
  <si>
    <t>Implementar la capacitación institucional para los funcionarios del Invima en temas de servicio y atención al ciudadano.</t>
  </si>
  <si>
    <t>el Invima planeo, formulo 6 proyectos que dan respuesta al compromiso planeado</t>
  </si>
  <si>
    <t xml:space="preserve">Como parte del fortalecimiento institucional se ha avanzado en los siguientes aspectos:
• Elaboración de estudios previos y proceso público de concurso de méritos para contratación del consultor para el fortalecimiento y adecuación de la infraestructura de los laboratorios del INVIMA.
• Análisis comparativo de alternativas y visitas técnicas para la selección de predios en lo relacionado a la adecuación de la infraestructura de las sedes del INVIMA.
• Revisión de normatividad vigente para la definición de la política de propiedad intelectual del INVIMA.
• Para el desarrollo de sostenibilidad financiera del INVIMA se ha realizado el diagnostico presupuestal de la entidad, diseño de la estrategia de racionalización de gastos y disciplina fiscal para las dependencias del Instituto.
• Documento del proceso de elaboración del aplicativo del Formulario Único de Inscripción de Establecimientos, formulación del instrumento para solicitud de información a países interesados en exportar en el marco de la articulación intra e interinstitucional en alimentos y bebidas 
</t>
  </si>
  <si>
    <t xml:space="preserve">El avance del proyecto se refleja en: 
• Fortalecimiento y adecuación de la infraestructura de los Laboratorios del Invima:  actualmente se encuentra aplazado debido a que no cuenta con los recursos para su inicio teniendo en cuenta que su alcance es la Construcción de los 7 Laboratorios del Instituto como ente de referencia a nivel nacional, adecuados y dotados en su infraestructura ajustada a las necesidades actuales y a las normas internacionales, el Invima está pendiente de la asignación de recursos Nación para este proyecto.
• Fortalecimiento y adecuación de la infraestructura de los sedes del Invima: su objetivo es Adquirir y dotar de infraestructura física para las nuevas sedes administrativas  de los GTT en las diferentes regiones  del País, se realizó estudio de mercado para una sede en la ciudad de Bogotá, igual para la sede de Neiva y montería.  
• Estrategia Sostenibilidad financiera del Invima: su objetivo principal es Definir una estrategia direccionada a buscar otras fuentes de financiación diferentes y optimizar el recaudo por concepto de tarifas, se radico el alcance al anteproyecto 2016 ante Ministerio de hacienda y crédito público con el fin de solicitar recursos nación.
• Proyecto de articulación intra e inter institucional en alimentos y bebidas: su objetivo principal es Fortalecer los mecanismos de articulación y coordinación entre todos los integrantes de la cadena productiva y los gremios relacionados en la vigilancia sanitaria de productos alimenticios y bebidas del país, se publicaron los ajustes en la inscripción, consulta y modificación en la página web del formulario único de inscripción de establecimientos, se desarrollo el cuestionario para evaluar la equivalencia de sistemas de inspección en terceros países y en establecimientos, se realizó censo de establecimientos por GTT y su participación del mismo de la Dirección de Alimentos y Bebidas. 
</t>
  </si>
  <si>
    <t>Elaboración de los estudios previos y determinación de necesidades de infraestructura física de los laboratorios del Invima.</t>
  </si>
  <si>
    <t>Fortalecimiento y adecuación de la infraestructura de las Laboratorios del Invima</t>
  </si>
  <si>
    <t xml:space="preserve">Adecuación de sedes adquiridas por el Instituto en las ciudades de Neiva y Montería. </t>
  </si>
  <si>
    <t>Fortalecimiento y adecuación de la infraestructura de las sedes del Invima</t>
  </si>
  <si>
    <t xml:space="preserve">Adquirir y dotar de infraestructura física para las nuevas sedes administrativas  de los GTT en las diferentes regiones  del País  </t>
  </si>
  <si>
    <t>Revisión de normatividad vigente</t>
  </si>
  <si>
    <t>Creación de la política de propiedad intelectual- INVIMA</t>
  </si>
  <si>
    <t>Implantar la política de propiedad intelectual en el Invima.</t>
  </si>
  <si>
    <t xml:space="preserve">Oficina de Asuntos Internacionales </t>
  </si>
  <si>
    <t xml:space="preserve">Alcance anteproyecto de presupuesto vigencia 2016.
- Concertación con gerentes de los proyectos de inversión de la entidad.
- Medidas orientadas a optimizar el recaudo por concepto de tarifas.
</t>
  </si>
  <si>
    <t>Estrategia sostenibilidad financiera del Invima</t>
  </si>
  <si>
    <t>Definir una estrategia direccionada a buscar otras fuentes de financiación diferentes y optimizar el recaudo por concepto de tarifas.</t>
  </si>
  <si>
    <t xml:space="preserve">Aplicativo de formulario único de inscripción de establecimientos de la Dirección de alimentos y bebidas web.
- Acta ponderada en formato electrónico.
</t>
  </si>
  <si>
    <t>Articulación intra e inter institucional en alimentos y bebidas</t>
  </si>
  <si>
    <t xml:space="preserve">Dirección de Alimentos y Bebidas </t>
  </si>
  <si>
    <t>el Invima planeo, formulo 4 proyectos que dan respuesta al compromiso planeado</t>
  </si>
  <si>
    <t xml:space="preserve">El programa de modernización de los sistemas de información actuales del INVIMA ha generado acciones tendientes al logro del objetivo planteado dentro de la que se encuentran para este trimestre las enunciadas a continuación:
• Implementación de notificaciones electrónicas y ajustes R1 y NSO, implementación de soluciones móviles mediante alternativas adicionales a las plantillas IVC (SIVICOS –Consultas USAID) e implementación del sistema de monitoreo de base de datos las cuales como respuesta a la necesidad de integración de las nuevas soluciones informáticas del Instituto.
• Implementación del modelos de datos únicos del INVIMA y apoyo en los proceso de implementación de estándares semánticos de medicamentos y dispositivos médicos y apoyo en la implementación del sistema de señalización y trazabilidad de medicamentos, acciones que apuntan a la implementación de la estrategia de inteligencia de negocios de la entidad.
• Elaboración de planes de trabajo e implementación de la infraestructura tecnológica soporte de educación virtual (Tecnovigilancia).
• Para el proyecto de automatización de procesos se ha hecho una priorización de cada uno de ellos y establecimiento de cronogramas como parte de la fase de planeación, adicionalmente se han parametrizado los modelos en la herramienta BPM y su posterior configuración en la herramienta.
</t>
  </si>
  <si>
    <t xml:space="preserve">• Se ha realizado la integración de las nuevas soluciones informáticas las cuales ya se encuentran en pruebas: 
-Implementar notificaciones electrónicas - Ajustes R1 y NSO: '1.Nueva versión de registros Sanitarios que incluye el envió de actos administrativos vía email.
-Actualización del Manual tarifario del Instituto en el cual se socializaron a nivel nacional. 
-El aplicativo de farmacovigilancia se encuentra en pruebas para la funcionalidad e interacción con el ciudadano
-El  aplicativo de SIGEP para nomina se encuentra en pruebas finales 
, implementación de soluciones móviles para consultas de USAID, Implementar Sistemas de Georeferenciación para IVC SOA entre otros. 
-Implementar el sistema de monitoreo de bases de datos (alternativa adicional sobre AIX): El sistema se encuentra implementado para los servidores SQL para las aplicaciones de sesuit, ácidos y establecimientos. 
-Implementar Sistemas de Georeferenciación (IVC SOA): Se utiliza la plataforma de MinSalud, el Ministerio de Salud ya entrego la distribución de sedes del invima y la relación de los municipios por GTT, esta fue validada internamente. Para el tema de establecimientos se hizo la definición estructural y queda pendiente la revisión de distribución en el mapa. 
•En la implementación de la estrategia de inteligencia de negocios en donde se han realizado las actividades de : 
-Se realiza la revisión de calidad de datos a las fuentes de información.
-Se catalogan requerimientos de información, en la cuales se crean 17 tareas automaticas para ejecutar los ETLS , Se crea un catalogo de información para control de acceso, se crea plantilla para control de cifras estrategicas del instituto.
-Se realiza el diseño de la actualización para la pagina web en donde se valida los niveles de acceso de las paginas quedando en 3 niveles de navegación, lo que agiliza la navegación del usuario final, esta en proceso.
•Se han llevado a cabo la actualización de las plataformas tecnologicas en el sentido de: 
-Se entregan plataformas de infraestructura para proyectos de:  Movilidad (servidores, tabletas), proyecto de aula virtual, IPv6, migración plataforma de correo electrónico, implementación de la plataforma de balanceo para aplicaciones críticas como tramites en línea, implementación de la plataforma de videoconferencia para los GTT, plataforma de control de acceso para los edificios de la sede Chapinero,  entrega de 8 impresoras para 232 usuarios, infraestructura para la nueva versión de Se suite, y migración servidores Lync, Se implemento el sistema de control de acceso (bases de datos, servidores y comunicaciones), se implemento la infraestructura tecnológica soporte de educación Virtual (Tecno vigilancia).
•En la automatización de procesos se realizo el diseño de la metodología que se implemtará en el desarrollo de los procesos priorizados,  se diseñaron y establecieron los formularios y pantallas de las actividades de los procesos de radicación-atención al ciudadano, registros sanitarios importar vender, comisión revisora- medicamentos, notificaciones, generación de documentos, formularios de pagina web- importar vender, programación IVC, directrices y lineamientos juridicos, certificaciones contractuales, registros sanitarios biologicos, se están llevando a cabo las actividades de entrenamiento y difusión de información de la herramienta.
</t>
  </si>
  <si>
    <t xml:space="preserve">Implementación sistemas de georeferenciación (IVC SOA).
- Actualización de tarifas según Decreto 719.
- Implementación farmacovigilancia Modulo 3.
- Implementación fase 2 de notificaciones.
- Implementación sistema de monitoreo de bases de datos.
- Implementación web service SIIS MinCIT.
</t>
  </si>
  <si>
    <t>Integración de las nuevas soluciones informáticas en el Instituto.</t>
  </si>
  <si>
    <t>Integrar a las soluciones informáticas, tecnologías de apoyo o emergentes que faciliten y optimicen su uso.</t>
  </si>
  <si>
    <t xml:space="preserve">Integración de soluciones y nuevas funcionalidades Se SUITE.
- Apoyo en la implementación de estándares semánticos (de medicamentos y dispositivos médicos).
- Apoyo en la implementación del sistema de señalización y trazabilidad (de medicamentos).
</t>
  </si>
  <si>
    <t>Implementación de la estrategia de Inteligencia de negocios en la Entidad</t>
  </si>
  <si>
    <t>Implementar la estrategia de Inteligencia de negocios como fuente única de información para la toma de decisiones basados en datos centralizados y de calidad</t>
  </si>
  <si>
    <t xml:space="preserve">Implementación nueva herramienta de mesa de ayuda.
- Implementación de infraestructura tecnológica soporte de educación virtual (Tecnovigilancia).
- Implementación video conferencia fase 2 (puertos y pasos fronterizos)
</t>
  </si>
  <si>
    <t xml:space="preserve">Actualización de las plataformas tecnológicas acorde a las nuevas soluciones informáticas </t>
  </si>
  <si>
    <t>Actualizar las plataformas tecnológicas y de comunicaciones acorde a los nuevos requerimientos identificados por el Instituto</t>
  </si>
  <si>
    <t xml:space="preserve">Parametrización de modelos en la herramienta de BPM.
- Pruebas de funcionamiento, calidad y usuario de los procesos automatizados.
</t>
  </si>
  <si>
    <t>Automatización de procesos</t>
  </si>
  <si>
    <t xml:space="preserve">Diseñar, automatizar e implementar los procesos que se prioricen dentro de la herramienta BPM/SOA Oracle.  </t>
  </si>
  <si>
    <t xml:space="preserve">Para este programa se han ejecutado las siguientes acciones:
• Elaboración del plan de trabajo de mecanismos de atención al ciudadano y participación en ferias con el fin de dar a conocer los trámites y servicios disponibles por los diferentes medios.
• Elaboración y divulgación del plan de participación ciudadana y plan de rendición de cuentas para la vigencia y la definición de nuevos conjuntos para la apertura de datos abiertos en lo relacionado al proyecto de gobierno abierto para una entidad más transparente.
• Elaboración del plan de trabajo y definición del proceso y procedimiento de planeación de las tecnologías de la información así como la revisión u definición del procedimiento de gestión de cambios de las tecnologías de la información correspondiente al proyecto de construcción de la estrategia de tecnologías de la información en la institución como metodología para la gestión.
• Avances en las actividades de unificación de la política de seguridad de la información y demás políticas tecnológicas así como la revisión y ajuste al diagnóstico de seguridad de información del INVIMA  de acuerdo a lo programado en el proyecto seguridad y privacidad de la información del INVIMA.
</t>
  </si>
  <si>
    <t xml:space="preserve">El avance del proyecto se evidencia en:
• La participación en ferias de atención al ciudadano para dar a conocer la información de trámites y servicios disponibles por los diferentes medios:  en Turbo - Antioquia y Pitalito - Huila, con asistencia de 81 personas  y en Buenaventura - valle y La Virginia - Risaralda  con asistencia de 50 personas
*Ademas de la realización de la promocion de trámites y servicios por diferentes medios  de comunicación: publicación en siito web de invima del  banner, en la cual se da a conocer al ciudadano que los trámites que realice ante el Invima pueden ser radicados en medio magnético.
* publicidad del nuevo procesos de notificación electrónica por medio del banner de la página y redes sociales. 
*Elaboración de la matriz de racionalización en la cual se identificación   8 trámites suceptibles a racionalizar, con los 8 trámites identificados se estandarizarón un formulario para dos trámites de las diferentes modalidades
se racionalizaron 19 trámites con tipo de acción tecnologica la cual permite notificar de manera electronica (envió de actos administrativos por correo electronico), como evidencia se encuantra la matriz actualizada (estrategia antitramites) y publicada en el sitio web Transparencia/plan anticorrupción.
Se actualizó la información en el suit de la información de trámites racionalizados.
•Gobierno abierto para una entidad más transparente: Se definen los objetivos y acciones a implementar en la estrategia de rendición de cuentas, se divulga  y realiza consulta pública sobre acciones establecidas para rendición de cuentas, se realizan el desarrollo de grupos focales referente a la resolución 719 de 2015 en las ciudades de Medellín, pasto, barranquilla, Bogotá, montería, Bucaramanga, Ibagué, armenia, Villavicencio y Cali; para llevar a cabo estas se realizó la promoción y divulgación pertinente por medio de página web y redes sociales.
*Socialización a través de redes sociales de los conjuntos de datos de operacionessanitarias y dirección de alimentos y bebidas
*Se publicaron 15 videos en la página web, para dar a conocer el que hacer el Invima, mostrando cada de las direcciones, el cuidado para el consumo seguro, bloqueador solar, entre otros. 
Adicionalmente se publican 19 comunicados de prensa y cuatro alertas sanitarias abordando diferentes tópicos tales como:
• Información de “Educación sanitaria” dirigida a la ciudadanía en general sobre situaciones que pueden poner en riesgo la salud de los consumidores.
• Información específica para la industria nacional
• Información de interés para titulares de registros sanitarios
• Información de interés para los medios de comunicación
• Información para actores del sector salud.  
• El INVIMA, es el anfitrión de la “V Reunión de Autoridades Reguladoras de Medicamentos”.
Formulan las siguientes actividades para abrir espacio de participación en página web:
- Abrir espacio en página web para que los usuarios coloquen sugerencias referentes a los informes publicados.
-Encuestas sobre: la percepción del ciudadano referente a los trámites y servicios del Invima.
-El Invima y la andi se unen para realizar el foro “consumo seguro” ¿soy responsable de la seguridad de los productos cosméticos y de aseo que uso a diario?”
-Senasa ha prorrogado la habilitación de las plantas exportadoras de carne bovina hasta agosto de 2016
-Colombia se encuentra lista para realizar el primer envío de carne aviar al japón
-Se realiza la primera exportación de carne bovina a jordania
•Seguridad y privacidad de la información del INVIMA: se realizo la reviisón de la spolitoicas de tecnologias d ela entiudad, Se reviso y ajusto el diagnostico de Seguridad de Información del INVIMA: Para dar continuidad al ajuste y socialización de seguridad definitivo, se contrato una auditoria externa la cual entre sus resultados esta el generar un informe de diagnóstio de seguridad de la información.
Identificar las brechas entre los documentos actualmente definidos y el nuevo Manual GEL y la nueva version ISO27001:2013:
Se aplicó la actualización 2015 del Marco de Referencia de Arquitectura Empresrial para la Gestión de Tecnologías de la Información
Se construyó y actualizó la Matriz de Lineamientos versus Dominios TI
Se realizo la traza entre el marco de referencia y el SGSI y se identificacron las nuevas necesidades y requisitos 2015 y los requisitos y necesidades se deben programar para los periodos 2016 a 2018, buscando la mejora en el proceso de Tecnologías d ela Información.  
Pendiente que MinTIC defina porcentajes de Avance según Plan 2015 - 2018.
</t>
  </si>
  <si>
    <t xml:space="preserve">Análisis y publicación de resultados para implementación de acciones de mejora del servicio.
- Encuestas de satisfacción del servicio por diferentes medios.
</t>
  </si>
  <si>
    <t xml:space="preserve">Gestión de los servicios centrados en el usuario </t>
  </si>
  <si>
    <t xml:space="preserve">Publicación en sitio web  la información del Invima,  acorde a lo exigido por el Anexo -Manual GEL y  Ley de transparencia.
- Espacios de participación, consulta e innovación abierta, utilizando la caracterización de usuarios identificada.
</t>
  </si>
  <si>
    <t xml:space="preserve">Gobierno abierto para una entidad más transparente </t>
  </si>
  <si>
    <t>Diseño e implementación de material didáctico para el despliegue de las estrategias de reducción de consumo de papel.</t>
  </si>
  <si>
    <t xml:space="preserve">Construcción de la estrategia de tecnologías de la información en la institución como metodología para la gestión </t>
  </si>
  <si>
    <t>Implementar la estrategia de Arquitectura Empresarial en TI y las prácticas determinadas por parte del Ministerio de Telecomunicaciones para la planificación, gobierno y gestión de las Tecnologías de la Información en el Instituto, alineadas con la Planeación Estratégica Institucional.</t>
  </si>
  <si>
    <t xml:space="preserve">Identificación de brechas entre los documentos definidos, manual GEL y la versión ISO27001:2013.
- Definición de nuevas políticas y procedimientos.
</t>
  </si>
  <si>
    <t xml:space="preserve">Seguridad y privacidad de la información del INVIMA </t>
  </si>
  <si>
    <t>Implementación del sistema de gestión de seguridad de la información para la Institución y la protección de los datos personales</t>
  </si>
  <si>
    <t xml:space="preserve">En cuanto al mejoramiento de calidad de vida laboral el programa registra ejecución en los siguientes aspectos:
• Presentación, aprobación y adopción del plan de bienestar por la comisión de personal así como la promoción de programas de vivienda correspondientes al proyecto denominado Bienestar para funcionarios de planta del INVIMA.
• Tabulación de necesidades y elaboración del plan de capacitación y cronograma de actividades respecto al proyecto de capacitación y formación por competencias.
• Estructuración del plan de intervención de acuerdo a los resultados de la medición 2014 y elaboración de estudio de mercado para los procesos contractuales requeridos, elaboración del cronograma de actividades 2015-2016.
</t>
  </si>
  <si>
    <t xml:space="preserve">El avance del progrma se reflej en: 
•Bienestar para funcionarios de planta del invima: se han realizado el total de actividades asociadas a promoción y prevención de salud, promoción de programas de vivienda,educación formal (convenio ICETEX para una vigencia de cinco años).
•Capacitación  y formación por competencia: se han realizado 88 solicitudes revisadas relacionadas con entrenamiento en puesto de trabajo, educación no formal y comisiones al exterior, 51 fichas técnicas de capacitación, 39 eventos contratados y ejecutados de 56 eventos tramitados.
•Intervencion de Clima Organizacional: 
Se han realizado actividades mediante medios de comunicación interna, para mejoramiento de las comunicaciones internas, entre otras: 
*Contrato para desarrollar las actividades para mejorar la percepción acerca del LIDERAZGO en la Organización.  
*Campaña de comunicaciones y difusión de la campaña para mejorar la percepción acerca de las CONDICIONES DE TRABAJO en la Organización, campaña de comunicaciones y difusión de la campaña para mantener la percepción acerca de las ALINIAMIENTO en la Organización, campaña para mantener la percepción acerca del SENTIDO DE PERTENENCIA en la Organización, campaña para mantener la percepción acerca de las RELACIONES INTERPERSONALES en la Organización.  </t>
  </si>
  <si>
    <t xml:space="preserve">Dearrollo del total de las actividades deportivas, recreativas y vacacionales programadas para la vigencia 2015.
- Promoción y prevención de la salud.
- Promoción de programas de vivienda.
</t>
  </si>
  <si>
    <t xml:space="preserve">Bienestar para funcionarios de planta del invima. </t>
  </si>
  <si>
    <t xml:space="preserve">1. Desarrollar acciones orientadas a mantener y mejorar la comunicación efectiva entre empleados y dependencias mejorando el clima organizacional.
2. Propiciar una mejor calidad de vida a los empleados y su grupo familiar.
</t>
  </si>
  <si>
    <t xml:space="preserve">En el cuarto trimestre se efectuarón 4 reuniones con el comité de capacitación para atender las 14 solicitudes de los funcionarios del INVIMA, de las cuales 11 fueron aprobadas,  se realizarón capacitaciones a entes territoriales en : 
Bebidas Alcohólicas en el marco del decreto 1686 de 2012
POES y Estándares de Ejecución Sanitaria 
Estabilidad de Productos Farmacéuticos
Seguridad del Paciente
Técnicas de auditoría para un sistema de gestión HSEQ
Entrenamiento en empaques y envases en contacto directo con alimentos
Entrenamiento en cultivo celular
Metodología paso a paso para la validación y estimación de la incertidumbre de la medición en métodos farmacopéicos microbiológicos con matrices específicas del laboratorio.
Formación sistemas integrados de gestión, ofertado por el ICONTEC
Curso Seminario de Evaluación del Sistema de Gestión de Talento Humano, Competencias a Partir de Indicadores Vigencia 2015 y Plan De Mejoramiento para 2016
Seminario de Atención Efectiva al Derecho de Petición, Quejas y Reclamos Responsabilidades Frente a la Política de Transparencia, Acceso a la Información Pública y Atención al Ciudadano
II Congreso internacional de contratación Estatal XIII Jornadas
Curso ISO 13528:2015 métodos estadísticos usados en ensayos de aptitud
Seminario Actualización en Administración Publica
Seminario Nacional “Responsabilidades De Las Comisiones De Personal En La Vigilancia Del Talento Humano
Curso Avances agronómicos para optimizar la Bioactividad y Seguridad Alimentaria en frutos de uso industrial Biodisponibilidad y efectos en la salud
Actualización de las normas ISO 9001:2015 y  ISO 14001:2015
Habilidades gerenciales para funcionarios de la alta dirección del Invima
Servicio al usuario
Taller nacional actualización sobre normas internacionales de información
Indicadores de Gestión
Informe de gestión con el programa de capacitaciones realizado y evaluación y evidencias de cada una de ellas. </t>
  </si>
  <si>
    <t>Capacitación  y formación por competencias</t>
  </si>
  <si>
    <t>Fortalecer el desarrollo de las competencias del servidor público en cuanto a: conocimientos, capacidades, habilidades y destrezas mediante la formación, capacitación y entrenamiento, que permitan contar con un recurso humano calificado y competente para el cumplimiento sus funciones y que contribuya al logro de la misión, visión y objetivos institucionales.</t>
  </si>
  <si>
    <t>Definición de las actividades a desarrollar para el periodo de 2016 y realización de Cursos de aprendizaje con líderes del Invima (directores - coordinadores).</t>
  </si>
  <si>
    <t>Intervencion de Clima Organizacional</t>
  </si>
  <si>
    <t xml:space="preserve">Para este programa se han evidenciado los siguientes avances:
• Desarrollo de la fase de diagnóstico, planificación e implementación en donde se programaron visitas de asistencia técnica y capacitación además de la socialización de informe epidemiológico este se encuentra en proceso de cierre en lo relacionado con el fortalecimiento de las competencias técnicas de la Red Nacional de Laboratorios.
• Concertación y elaboración del cronograma de trabajo entre la Oficina de Tecnologías de Información y la Oficina de Laboratorios de Control de Calidad para el Sistema de Información de los procesos de análisis de los Laboratorios Nacionales.
</t>
  </si>
  <si>
    <t xml:space="preserve">El avance del porgrama se refleja en:
• Los laboratorios ha realizado  29 asitencias tecnicas a los Laboratorios Departamentales y Distritales de Salud Publica cuyo objetivo es el de realizar seguimiento a las funciones establecidas en el decreto 2323 de 2006 como Laboratorios de la Red en cabeza del Invima como Laboratorio Nacional de Referencia, con un total de participación de 172 profesionales que recibieron la transferencia de conocimiento.
Se han realizado capacitaciones en validación de métodos analíticos y estimación de la incertidumbre en las áreas microbiológica y fisicoquímico de alimentos y productos farmaceuticos,  en metrología y una en Seguridad Alimentaria  se han realizado un total de 5 capacitaciones con la participación de 139 personas 
En relación a los ensayos interlaboratorios en el área fisicoquímica se han culminado con entrega final de resultados los relacionados con metales pesados con participción de 5 LDSP e Invima y el interlaboratorio en histamina con participación de 2 LDSP e Invima. Por otra parte, se encuentran en ejecución los ensayos interlaboratorios en conservantes, vitaminas b1 y b2 en harinas, parametros nutricionales en harinas, yodo y fluor en sal, nitritos en matriz cárnica y grado alcoholico en whisky.
En los ensayos interlaboratorios del área microbiologica de alimetnos se esta desarrollando un item para Recuento de Aerobios Mesófilos, Coliformes totales, Coliformes fecales y E coli con una participación de 28 LDSP e Invima y otro item para Recuento de Staphylococcus coagulasa positiva y Bacillus cereus  con una participación de 27 LDSP e invima.
</t>
  </si>
  <si>
    <t>Informe de visitas realizadas en los departamentos de salud pública de Antioquía, Valle del Cauca y Atlántico, dentro del proceso de asistencia técnica a la red de los laboratorios.</t>
  </si>
  <si>
    <t>Fortalecimiento de la competencia técnica de la Red Nacional de Laboratorios Departamentales y los Laboratorios Nacionales de Referencia.</t>
  </si>
  <si>
    <t>Fortalecer las competencias técnicas de los funcionarios de los laboratorios de Referencia del INVIMA  y de  la Red Nacional  de Laboratorios.</t>
  </si>
  <si>
    <t xml:space="preserve">Diseño del módulo de inventario de los laboratorios por parte de la Oficina de Tecnologías de la Información.
- Levantamiento de información de inventarios en los 7 laboratorios.
- Empalme de información en el aplicativo Sapiens.
</t>
  </si>
  <si>
    <t>Sistema de información de los procesos de análisis  de los Laboratorios Nacionales de Referencia  Invima – Desarrollo del módulo de Inventario de los laboratorios en Sapiens</t>
  </si>
  <si>
    <t>El INVIMA Planteo este proyecto para llevar a cabo las acciones relacionadas a mitigar los efectos  de la ilegalidad (1 proyecto)</t>
  </si>
  <si>
    <t xml:space="preserve">Para este último programa los avances obtenidos a la fecha se ven reflejados en:
• Culminación total de la fase de planificación con la priorización de mesas de trabajo regionales  en puntos estratégicos de control e identificación de los GTT a convocar para participar en las mesas de trabajo, y la realización de estudio geo estratégico del GTT Occidente 2 Cali para la articulación de la Red Nacional contra la ilegalidad.
• Direccionamiento del enfoque de la unidad, objetivo, ejes estratégicos, métodos de trabajo e identificación del proceso que realiza el Grupo Unidad de Reacción Inmediata (GURI) y aprobación por parte de la Dirección General y la posterior socialización en la Institución.
</t>
  </si>
  <si>
    <t xml:space="preserve">Se realizo  invitación de las comunicaciones al GTT OCCIDENTE y las entidades territoriales y el estudio geoestratégico del GTT occidente 2. 
Se realizó Estudio Geoestratégico para la Realización de la mesa de trabajo regional No. 1 en el GTT Occidente 2 Cali (Valle del Cauca, Cauca).
Se crea formato de informes de actividades mesas de trabajo GDI-GRI-FM002.
Se crea  formato de análisis y resultados AIC-AST-FM010.
Implementación del instructivo de verificación de la Hoja de vida de aspirantes a vinculación a la planta del Invima y contrato de prestación de servicios.
</t>
  </si>
  <si>
    <t>Informe de mesas regionales en Grupos de trabajo territorial Occidente 2, Costa Caribe 1, Centro Oriente 3.</t>
  </si>
  <si>
    <t>Articular la  red  nacional contra la Ilegalidad y la Corrupción que puedan afectar  las actividades misionales del INVIMA</t>
  </si>
  <si>
    <t>Establecer canales de comunicación con entidades nacionales, regionales, locales, autoridades judiciales y organismos de control.</t>
  </si>
  <si>
    <r>
      <rPr>
        <b/>
        <sz val="8"/>
        <rFont val="Arial"/>
        <family val="2"/>
      </rPr>
      <t>Acciones Institucionales
*Gestionar convenios y/o acuerdos para fortalecimiento de lucha contra la ilegalidad y corrupció</t>
    </r>
    <r>
      <rPr>
        <sz val="8"/>
        <rFont val="Arial"/>
        <family val="2"/>
      </rPr>
      <t xml:space="preserve">nPara el tercer trimestre, el Grupo Unidad de Reacción Inmediata ha realizado las siguientes actividades, para la suscripción de los convenios programados: 
1. Convenio Marco entre la Oficina de las Naciones Unidas Contra la Droga y el Delicto -UNODOC Colombia y el Invima. Se realizó una nueva reunión con UNODC con el fin de establecer nuevamente las actividades del convenio, así como el tiempo del mismo. A la fecha se esta revisando el anexo técnico enviado por UNODC.
2. Convenio interadministrativo de asociación entre la Policia Nacional – Dirección de Protección y Servicios Especiales – Coordinación Policía Fiscal y Aduanera y el Invima. cuyo objeto es : Fortalecer los lazos de cooperación entre las Instituciones INVIMA – POLICIA NACIONAL, que permitan coadyuvar a la prevención y detección de actividades y operaciones asociadas al “comercio ilícito” especialmente de ilegalidad, fraude y contrabando en productos competencia del INVIMA. Se encuentra nuevamente en revisión por parte del Invima, puesto que la POLFA realizó una nuevas observaciones. 
3. Convenio de Asociación entre el Invima y la Cámara Colombiana de Comercio Electrónico-CCCE, cuyo objeto es: Aunar esfuerzos, recursos y capacidades técnicas para contrarrestar y mitigar las ventas ilegales y el contrabando de productos competencia del INVIMA que puedan ser ofrecidos y comercializados a través de plataformas de comercio electrónico.  Fue firmado el 21 de abril de 2016 y el mismo día se realizó su lanzamiento.Este Convenio se encuentra en ejecución. 
</t>
    </r>
    <r>
      <rPr>
        <b/>
        <sz val="8"/>
        <rFont val="Arial"/>
        <family val="2"/>
      </rPr>
      <t xml:space="preserve">Participar en  reuniones o mesas de trabajo de lucha contra la ilegalidad, contrabando y corrupción convocadas por entidades públicas y privadas </t>
    </r>
    <r>
      <rPr>
        <sz val="8"/>
        <rFont val="Arial"/>
        <family val="2"/>
      </rPr>
      <t>Durante el tercer trimestre de 2016, el Grupo Unidad de Reacción Inmediata participó en 22 reuniones de lucha contra la ilegalidad, contrabando y corrupción.</t>
    </r>
  </si>
  <si>
    <t>1.1  Se evidencio la realización del evento con la Escuela Judicial Rodrigo Lara Bonilla el cual fue llevado a cabo el 08 de julio de 2016 contando con la participación de 82 Jueces y Magistrados de la Jurisdicción contenciosa administrativa y penal, funcionarios de la Dian, Fiscalia General de la Nación, CTI, CIJIN, POLFA, Secretarias de Salud y Secretaria de Hacienda.
1.2 El desarrollo de este proyecto cumple con los tiempos definidos y se cumple con la ejecución programada tanto física como presupuestal, esta soportado  mediante la entrega de los slides a la UNAL y la virtualización de los modulos con el nuevo enfoque, con lo cual se busca la preparación del material para capacitaciones a prestadoras de servicios de salud, importadores, fabricantes y entes territoriales.
1.3  El proyecto "Educación Sanitaria virtual del Programa Nacional de Tecnovigilancia" tiene como objetivo general Realizar Capacitaciones a través de ambientes virtuales y Asistencias Técnicas del Programa Nacional de Tecnovigilancia, durante la realización de esta tutoria se evidencia un avance en el desarrollo de las actividades en un 59%, como resultado de la aplicación de modulos virtuales de tecnovigilancia para la transferencia de conocimiento dirigos a los diferentes actores del Programa Nacional de Tecnovigilancia y agencias sanitarias homologas  los cuales fueron certificados, mejorando la gestión de la vigilancia postcomercialización de dispositivos medicos.
1.4 durante el desarrollo de esta  tutoria presento un avance en ejecución fisica de las actividades  de un 35%,  lo anterior atraves  de  3 jornadas de asistencia técnica en las ciudades de Bucaramanga en laboratorio Higuera Escalante y Fundación Cardiovascular y en la ciudad de Cali en el Laboratorio Clinico Imbanaco en la metodología AMFE para la implementacion de la vigilancia proactiva en reactivos de diagnóstico in vitro y 1  jornada de asistencia tecnica seguimiento en la metodología AMFE en la ciudad de Cali a ala clinica Occidente de Cali, lo anterior permite realizar seguimiento a los Programas Institucionales de Reactivovigilancia y a la Implementación del Sistema de Gestión de Riesgo Clínico a partir de la Metodología de Análisis Modo Falla y Efecto (AMFE).
1.5. Al evento asistieron 46 miembros de los distintos comités a nivel nacional y su impacto se vió reflejado puntualmente sobre los comités de ética en investigación clínica, logrando así un mayor acercamiento y reflexión sobre los puntos a fortalecer de éstos.
1.6 Dentro del desarrollo de la turoria se pudo evidenciar el avance en el proyecto en el cual se inscribieron tres (3) proyectos a Colciencias los cuales son los siguientes: 1. Diseño y Validación de un nuevo tetraplex usando el método de PCR en tiempo real para el Screening de OGM e alimentos procesados y granos. 2. Diseño y validación de dos pentaplex y un tetraplex para la detección cualitativa de 14 eventos de transformación genética en soya. 3. Análisis de las nuevas entidades químicas aprobadas por el INVIMA en el periodo 2012 - 2015.
1.7 Se realizaron 9 jornadas de asistencia técnica dirigidas a los representantes de las plantas de beneficio, desposte y desprese, en temas específicos relacionados con el Decreto 1500 de 2007, Decreto 2270 de 2012 y sus resoluciones reglamentarias (240, 241 y 242 de 2013), actividades que fueron realizadas en las ciudades de Bucaramanga, Cali, Neiva, Medellín, Barranquilla, Montería, Armenia y Bogotá, durante los días comprendidos del 21 de julio al 06 de agosto de 2016, con una participación  de 743 asistentes por día para un total  2,142.
1.8  se han realizado 1 foro Aspectos normativos y técnicos de la Bioequivalencia en Iberoamérica, y se realizó la campaña de educación sanitaria A lo Sanchez, que busca sensibilizar a los colombianos el uso responsable de los productos comptencia del instituto a través de mensajes divertidos y a menos. Actualmente se han publicado en redes sociales 6 capitulos, quedando pendiente opor difundir 2. 
1.9  divulgación de piezas de educación sanitaria con enfoque de riesgo dirigidas a las secretarias de salud a la fecha se han realizado 19 piezas de comunicación de los productos relacionados con las competencia del Invima. La segunda, es la Estrategia información, educación y comunicación en inocuidad y calidad de alimentos, con liderazgo de la dirección de Alimentos, a la fecha fecha se encuentra para perfeccionamiento del cronograma.
1.10  el Grupo de Comunicaciones realizó gestión para la publicación de información del Invima teniendo como resultado 19 replicas en medios de comunicación en el mes de agosto. Los temas abordados son: Génericos vs marca, implementación del decreto 1500 y campaña A lo Sanchez.
1.11 presentación de la campaña Invima soy yo dirigida a publico interno con lineamiento al público externo asociada con la divulgación del codigo de etica y buen gobierno y esta a la espera de la aprobación de la Dirección General.
1.12 se enviaron las invitaciones en donde se establecen la definición de lineamientos por parte del Invima para el currículo de entrenamiento de los inspectores para la escuela de inspectores
1.13. Se revisó el proyecto el cual quedara para revisión y ajuste de acuerdo con los criterios del nuevo lider el cual será postergado o suprimido segun los criterios y conceptos de lider del mismo y previa aprobación por parte de la Dirección General.
1.14 Se revisó el proyecto el cual quedara para revisión y ajuste de acuerdo con los criterios del nuevo lider el cual será postergado o suprimido segun los criterios y conceptos de lider del mismo y previa aprobación por parte de la Dirección General</t>
  </si>
  <si>
    <t>2.1 La Oficina Asesora de Planeación recibe solicitud de control de cambios el jue 29/09/2016 de parte de la Jefe de Oficina de Asuntos Internacionales, Gerente del Programa. Dichos cambiosrealizados al proyecto obedencen, en parte, a solicitud de ajuste en algunos entregables del proyecto de la Dirección General. La Oficina de Asuntos Internacionales ha acatado las consideraciones del Director General las cuales fueron efectuadas en los documentos correspondientes.
2.2 El Director General ha dado instrucciones de cooperación específicas basadas en las 4 estrategias y 15 acciones establecidas en el Instituto.
Las limitaciones de las autorizaciones de comisión al exterior de parte del Ministerio de Salud han afectado significativamente la ejecución del proyecto debido a que no se puede dar cumplimiento a los planes de trabajo establecidos inicialmente, ademas de la no ejecución presupuestal contemplada por la oficina. Con el fin de subsanar dicha situación, la Oficina de Asuntos Internacionales se vio obligada a redefinir los compromisos establecidos, ademas de programar y adelantar actividades de manera virtual.
En cuanto a la proyección de visitas entregada al Director algunas de estas ya han sido aprobadas y sobre estas la Oficina de Asuntos Internacionales realizará la gestión del segundo semestre.
En cuanto al tema presupuestal se ha definido reunión de aclaración de cifras y ejecuciones entre Planeación y Asuntos la cual se realizara en los próximos días
2.3 La Oficina Asesora de Planeación recibe solicitud de control de cambios el jue 29/09/2016 de parte de la Jefe de Oficina de Asuntos Internacionales, Gerente del Programa. Dicho control de cambios se decide de mutuo acuerdo (en reunión adelantada el mes de agosto en la que asistío el DG del Invima, Jefe de Oficina y Representante de OPS en Colombia) firmar para la vigencia un convenio Marco de Cooperacion Internacional teniendo en cuenta que la fase de negociacion terminaba en Septiembre y entraba en fase de perfeccionamiento el acuerdo, lo que indicaba que la ejecucion iniciaria en en mes de Octubre, siendo esta una fecha muy tardia para iniciar la ejecucion del plan de trabajo que involucraba 3 eventos a nivel internacional que requerian desplazamientos de expertos, disponibilidad de espacios, una logistica compleja para el poco tiempo de ejecución y la totalidad de los recursos.
Dentro de las 6 lineas de trabajo definidas en el convenio marco con OPS se incluyen temas de medicamentos, IVC con enfoque de riesgos, Puertos, Laboratorios, entre otros. El convenio marco se está firmando inicialmente por dos años prorrogables</t>
  </si>
  <si>
    <t xml:space="preserve">3.1 el proyecto presento de acuerdo a las actividades realizadas por el Grupo de Tecnovigilancia en acompañamiento de los expertos de la UNAL resaltando los procesos de formación al personal asistencial de cada una de la IPS participantes del piloto de implementacion de vigilancia intensiva para mejorar el reporte de eventos adversos que asu vez influye en la información que se puede capturar con la cual a futuro se incluira dentro de la base global de tecnovigilancia para fortalecer el procesos de señalizacion que tiene incorporado el Programa.
3.2 se adelantó con los ingenieros de desarrollo de la Oficina de Tecnologías de la información, se presenta en lenguaje JAVA la incorporación de la estructura de los módulos informáticos del aplicativo WEB de Tecnovigilancia, tambien presenta avance de  los diseños de  las estructuras de consultas de los reportes  trimestrales al interior del Aplicativo Web de Tecnovigilancia y  de consulta de Eventos e Incidentes Adversos al interior del Aplicativo Web de Tecnovigilancia actividades de las cuales está pendiente los accesos y permisos por parte de la oficina de tecnologías de la información, es de aclarar que estas actividades requieren de la programación de las estructuras por parte de la oficina de tecnologías de la información, actividades que hacen que el proyecto dentro de las siguientes dos fases deba ser ajustados en las fechas incluidas en el cronograma de trabajo.
</t>
  </si>
  <si>
    <t>4.1 se identifica la materializacion de  uno de sus riesgo identificados en su formulación teniendo en cuenta que las actividades que se debieron desarrollar en el mes de agosto y septiembre no se realizaron toda vez que dependen directamente de entregables por parte de la Oficina de Tecnologias de la informacion quienes mediante reunion con el Director de Dispositivos Medicos se comprometen a realizar la entrega a mas tardar el 7 de octubre, de acuerdo a lo anterior se recomienda realizar un control de cambios donde se ajustan las actividades a cargo de la OTI en una sola y se modifican las fechas de acuerdo al compromiso por parte de la OTI.
4.2 El avance de este trimestre se soporta de acuerdo al desarrollo integral que se ha presentado en el ingreso a la base de datos de eventos indeseados que a su vez permite en la base de datos de SIGNAL un analisis e identificaciòn de los reactivos señalizados de acuerdo a la informaciòn que se va consolidando, con esto se logra una vigilancia proactiva en tiempo real que permite el aumento de los indices de seguridad en la comercialiaciòn y distribucciòn de los reactivos en el paìs.</t>
  </si>
  <si>
    <t>5.1 Se realizaron los informes correspondientes a los planes de muestreó de monitoreo año 2015 de los 6 planes de muestreó correspondientes , los cuales fueron presentados ante la Dirección de Alimentos y Bebidas para un total de 1544 muestras analizadas en diferentes matrices, para patógenos tales como Salmonella spp, Campilobacter, listeria y Ecoli O157.
Se realiza entrega documentación la ministerio de salud y protección social de los planes descritos anteriormente con el propósito de la formulación de la resolución de verificación de patógeno en plantas de beneficio animal que deberá ser expedida por el ministerio a finales de la presente vigencia en cumplimento de a resolución 2690 del 2015. Se tiene programado adicionalmente la presentacion a los Grupos de trabajo territorial el dia 8 de noviembre  
5.2 Se realizaron los informes correspondientes a los planes de muestreó de verificación año 2015 de los 13 planes de muestreó correspondientes, los cuales fueron presentados ante la Dirección de Alimentos y Bebidas para un total de 1215 muestras analizadas en diferentes matrices, para análisis fisicoquímicos y microbiológicos
5.3 Se realiza seguimiento de los planes de verificacion año 2016 para los planes teniendo un total de 358 muestra tomadas divididas en los diferentes planes como panela, agua envasada, quesos, bebidas alcohólicas entre otros.
5.4 Se publicó la Resolución No. 2016034310 de 5 septiembre de 2016 “Por la cual se autoriza al Laboratorio de la Universidad de Antioquia Facultad de Ciencias Agrarias para la realización del ensayo detección y tipificación de Trichinella spp en muestras de carnes obtenidas de la especie porcina”, en tal sentido la Direccion de Alimentos y Bebidas realizó los estudios previos los cuales están en revisión por parte del Grupo de Gestión Contractual, igualmente está en revisión por parte del Asesor de Dirección General los documentos técnicos del plan de muestreo.
5.5 La Dirección de Alimentos y Bebidas  desarrolló las  actividades  del proyecto programadas en la etapa de planeación  dentro de las fechas establecidas, etapa en la que se identificó un experto técnico Chileno que reunía los requisitos de formación y experiencia especifica en el tema y se identificaron  dificultades en la contratación del experto por su condición de extranjero    tales como la modalidad de contratación, requisitos de ley para el ejercicio de la medicina veterinaria en Colombia  y sobrecostos del proyecto debido al 35% de impuestos adicionales que deben pagar los extranjeros.
5.6 Se realiza seguimiento de los planes de monitoreo año 2016 para los planes definidos teniendo como total 304 muestras tomadas</t>
  </si>
  <si>
    <t>6.1 El proyecto presenta un avance del 89% con un retraso en las fases de análisis de muestras de datos e información y la fase de cierre.
Recomendación: por ser un proyecto que vincula a una entidad externa como es el Ministerio de Salud y Protección Social es necesario fortalcer los mecanismos de comunicación que permitan efectuar el cierre efectivo del mismo, se sugiere  reformular una nueva fecha de cierre basada en un cronograma de trabajo con el MSPS y así poder concluir las actividades que estan pendientes.
6.2 El proyecto presenta un avance del 94%, con un retraso en las fases de retrazo en las fases de análisis de muestras de datos e información y la fase de cierre.
Recomendación: por ser un proyecto que vincula a una entidad externa como es el Ministerio de Salud y Protección Social es necesario fortalcer los mecanismos de comunicación que permitan efectuar el cierre efectivo del mismo, se sugiere  reformular una nueva fecha de cierre basada en un cronograma de trabajo con el MSPS y así poder concluir las actividades que estan pendientes.
6.4 El proyecto presenta un avance del 3% y un retraso en la fase de Diseño y Planificación debido a la revisión de los términos de la licitación.
Recomendación: es necesario revisar si el retrazo en el proceso de licitación y  adjudicación del contrato podría impactar la fase de implementación así como la ejecución efectiva de los recursos asignados ($300.000.000) caso en el que se deberá contemplar  un plan para redifinición de acividades y cronograma del proyecto.</t>
  </si>
  <si>
    <t xml:space="preserve">7.1 El proyecto presenta un avance del 61%, el desarrollo de las actividades está dentro de las fechas programadas, los resultados obtenidos se traducen en la identificación de un muestra no conforme en arroz importado que presenta excedencia de Cadmio información que ha sido remitida al ICA y que sirve de soporte técnico para que esta entidad tome las medidas de intervención pertinentes dentro de las cuales se encuentra en curso el proceso de monitoreo y seguimiento al molino.
7.2 El avance del proyecto es del 77% los resultados se traducen en la identificación de análisis con resultados no conformes para huevo, bovinos, aves y porcinos por excedencia los límites permitidos en el uso de medicamentos veterinarios, adicionalmente se llevan a cabo las actividades de articulación con el ICA en el sentido de remitir la información pertinente que sirve como soporte técnico para la aplicación de las medidas y acciones de intervención en los productos y establecimientos identificados con incumplimiento de la normativivdad vigente.
7.4 El proyecto presenta un avance del 54%, el desarollo de las actividades se encuentra dentro del cronograma establecido y la información recolectada esta siendo consolidada y analizada como insumo para la formulación del informe final y la divulgación de resultados.
7.5 El avance del proyecto es del 48% y las actividades estan siendo ejecutadas dentro de los tiempos establecidos en el cronogram de trabajo.
Recomendación: Se observa que el avance en la actividad de toma de muestras presenta un porcentajo bajo de ejecución por lo que es necesario verificar la programación remitida a la Dirección de Operaciones Sanitarias y confrontarla frente a lo que efectivamente se esta tomando por esta Dirección de manera que se puedan realizar los ajustes pertinentes en los cronogramas de toma de muestras y de esta manera evitar afectar el desarrollo del proyecto o la acumulación de muestras a remitir a los laboratorios encargados de realizar el análisis de ellas.
El avance del proyecto es del 48% y las actividades estan siendo ejecutadas dentro de los tiempos establecidos en el cronogram de trabajo.
El desarrollo de las actividades se encuentra dentro del cronograma establecido y se ha dado inicio a la actividad de toma de muestras, pero se manifiesta por parte del profesional líder que se han presentado inconvenientes en las cantidades y frecuencias de dicha toma toda vez que esta la debe realizar el ICA es decir que depende completamente de la gestión y avance de una entidad externa por lo que se estan revisando y ajustando los lineamientos para toma de muestras. 
7.7  El proyecto presenta un avance del 65% y la ejecución de sus actividades se encuentra dentro de los tiempos establecidos en el cronograma de trabajo, como resultado se han identificado 9 resultados de laboratorios rechazados sobre los cuales se ha decidido adoptar una medida que consiste en la comunicación del riesgo la cual se hará en conjunto con el Ministerio de Salud y Protección Social.
El proyecto presenta un avance del 61% en donde se han obtenido como resultado de la toma y análisis 15 muestras rechazadas sobre las cuales se han remitido la propuesta con la formulación de las acciones de intervención al Grupo Técnico de Alimentos para revisión y posterior entrega a la Dirección de Operaciones Sanitarias quién ejecutará las medidas pertinentes.
7.8 El proyecto presenta un avance del 56% con un desarrollo de actividades dentro del cronograma establecido. La toma de muestras inició en el mes Septiembre por lo que no se han recibido aún análisis de laboratorio los cuales una vez entregados permitiran establecer los niveles de conformiada de los productos frente a la normatividad y parámetros existentes.
7.9 El proyecto presenta un avance del 70%, el desarrollo de las actividades esta de acuerdo al cronograma establecido.
Recomendación: La fase de ejecución y análisis comezó un mes después de lo planeado por lo que se recomienda realizar un seguimiento detallado al cronograma de toma de muestras y análisis de laboratorio de manera que se concluyan en la fecha establecida o se realicen los cambios en los tiempos pertientes. 
7.10 E proyecto presenta un avance del 47% , las actividades estan siendo desarrolladas dentro de los tiempos establecidos en el crongrama de trabajo.
Recomendación: La fase de ejecución y análisis comezó un mes después de lo planeado por lo que se recomienda realizar un seguimiento detallado al cronograma de toma de muestras y análisis de laboratorio de manera que se concluyan en la fecha establecida o se realicen los cambios en los tiempos pertientes. 
7.11  El seguimiento al proyecto contempló la toma y análisis de muestras de los meses de julio y agosto.
El proyecto presenta un avance del 57% los resultados obtenidos se traducen en la identificación de 21 muestras rechazadas por superar los niveles máximos permitidos para conservantes y aflatoxinas generando la propuesta de intervención remitida al Grupo Técnico de Alimentos, adicionalmente se estan realizando visitas a las plantas de arepas para determinar la fuente de contaminación por aflatoxina.
7.12 El proyecto presenta un avance del 67% y desarrolla sus actividades dentro de las fechas establecidas en el cronograma de trabajo. Los resultados se pueden ver reflejados en la identificación del uso de OGM para los siguientes productos: tortillas, bebidas no lacteas de almendra, amaranto y quinuoa y granos procesados (Chia, fusilli).
Recomendación: Teniendo en cuenta que la toma de muestras se realiza en los puertos y que Buenaventura es el puerto donde se puede tomar una mayor cantidad de muestras se recomienda revisar el cronograma  y verificar el cumplimiento y avance del mismo en cada puerto y así poder identificar los posibles retrazos y tomar las acciones necesarias en caso de requerirlo.
7.13  El proyecto presenta un avance del 53%, las actividades se desarrollan dentro del cronograma establecido, los resultados del proyecto se podrán evidenciar a medida que se vaya concluyendo la toma y análisis de muestras, actividades que soportarán los conceptos técnicos y elaboración del informe final.
</t>
  </si>
  <si>
    <t xml:space="preserve">9.1  De los resultados pendientes de entrega por parte del Laboratorio, que corresponde a la actividad: Entregar resultados de la toma de muestras por parte del Laboratotios, a la fecha se han recibido dos resultadops correspondientes a Repelentes de insectos, de las 16 muestras pendientes  de shampoo anticaspa, no se ha reportado ningun resultado, debido a interferencia de técnica que no especifica la detección de Zinc, que es el elemento a a analizar en este producto (zinc piritionato y zin c oxido).
Para la actividad de Realizar capacitaciones programadas se han realizado en la ciudad de Cali, el día 23 de Junio en el GTT, y en Medellin el dia 7 de Julio de 2016, dirigida a a los Industriales .
Se evidencia documento de fecha junio 20 de 2016 por parte del Laboratorio  con reporte de resultados  de dos muestras, correspondientes a repelentes  
Se evidencia lista de asistencia y evaluaciones de las capacitaciones realizadas en la ciudad de Cali y Medellin. se adjunta link:  https://www.invima.gov.co/images/pdf/informate/REQUISITOS-E-IMPLICACIONES-DE-LA-NSO-E-IVC-EN-COSM%C3%89TICOS.pdf.
9.2. Acta de reunión  #1 del 21 de Enero de 2016,cerrando el proyecto  de Demuestra de la Calidad en Dispositios Médiicos para la vigencia 2015. Se realió reunión entre la Dirección de Dispositivos Médicos, la Dirección de Operaciones Sanitarias  y el Grupo de Laboratorio Fisicomecánico de Dispositivos Médicos y Otras Tecnologías, en donde se trataron entre otras temas: Resultados del proyecto de la vigencia 2015, y Proyectados par ala vigencia 2016,y se evidencia informe final  de consolidado de productos generales del proyecto   2015.Informe consolidado de Resultados del Proyecto.
9.3 29/07/2016
A la fecha de la realizacion de la segunda tutoria de 2016 (julio 29) se evidencia que todas las actividades enmarcadas dentro de las cuatro fases correspondientes al Proyecto y programadas dentro del coronograma incial de actividades, se han ejecutadio en un 100%, por lo que se da cierre al Proyecto Demuestra la Calidad en Medicamentos 2015.
El informe final del proyecto se encuentra en Dirección General,toda vez que ya fue  revisado y aprobado por la Doctora Luz Helena Franco Chaparro Dirección de Medicamentos y Productos Biológicos.
Es de anotar que la ejecucion del Proyecto no se terminó en la fecha programada incialmente para dicho fin, y se debio realizar controles de cambio, porque se dependia de otra dependencia para el cierre, en este caso de la Oficina de Laboratoriso y Control de Calidad.
9.4 Dentro de la fase de Desarrollo, encontramos la actividad Generar documento conclusiones vigencia 2015, en esta tutoria no presenta avance, a pesar de que la fecha de terminación fue el 21 de junio de 2016, esto debido a que el Laboratorio no ha reportado en su totalidad los resultados de las muestras enviadas por parte de la Dirección de Cosméticos en la vigencia 2015, insumo necesario para lograr consolidar el documento de dichas conclusiones.
Tomando la Fase de Desarrollo, con la actividad: Realización de actividades de toma de muestras, a la fecha se han tomado muestras en  la ciudad de Santa Marta, el día 28 de Abril, en la ciudad de Cúcuta, el día 9 de Junio, y en la ciudad de Barranquilla, el día 1 de Julio de 2016.
A continuación se relaciona la cantidad de muestras tomadas a la fecha en las ciuades de Sincelejo, Armenia, Santa Marta y Cucutá  :
-Cosméticos para niños: 9
-Crema de manos y cuerpo: 14
-Enjuague Bucal: 7
-Repelentes: 6
Para la actividad de Entrega de muestras  para análisis y repósición  de producto, a la fecha se han entregado  al Laboratorio las muestras tomadas en la ciudad de Cúcuta (Junio de 2016), Santa Marta (Mayo de 2016), y la reposición de producto se ha hecho en la ciudad de Santa Marta, pendiente las ciudades de Cúcuta y Barranquilla.
Dentro de los entregables enmarcados en la Fase de Desarrollo, para la actividad de toma de muestras, se evidencia auto comisiorio generado por la Dirección de Cosméticos a nombre de los funcionarios designados para la actividad, Acta, y formato de la toma de muestras.
Se evidencia fotografías de las  muestras tomadas en las diferentes ciudades. 
Para la actividad de Entrega de muestras  para análisis y reposición  de producto,Se evidencia oficio mediante el cual  se hace entrega al Laboratorio de las muestras tomadas en la ciudad de Cúcuta y la ciudad de Santa Marta; y la reposición de producto en la ciudad de Santa Marta.
9.5 Una vez realizada la tutoría, se evidencia cumplimiento dentro  de los tiempos establecidos en el cronograma para las siguientes actividades:
-Elaborara mapa de de Priorización de muestreo po Riesgos (Jeringas)
-Incluir los establecimientos sujetos a muestreo en el formato unico de programación de IVC  y envío a la Dirección de Operaciones Sanitarias (Jeringas)
-Elaborar el mapa de priorización de muestreos por Riesgo  (Cateteres)
-incluir establecimientos sujetos a muestreo en el formato unico de programacion de IVC y envio  a la Dirección de Operaciones Sanitarias  (Cateteres)
-Elaborar el mapa de priorizacion de muestreo por riesgos  (equipos de Macrogoteo)
-Incluir los establecimientos sujetos de muestreo en el formato unico de programación de IVC ala Dirección de Operaciones Sanitarias (equipos de macrogoteo).
Producto de los entregables de las actividades enmarcadas en la fase de Diagnóstico una  vez realizada la segunda tutoria, se evidencia lo siguiente:
-Mapa de priorización de muestreo por riesgo (Jeringas).  Con base en registros sanitarios, se envía a programar , de acuerdo a la distribución de POA que se hizo con el Laboratorio (11)  en el formato unico de programación de Operaciones Sanitarias, donde  se registra la clase de jeringa que se va a  a muestrear, en este caso de 3,5 -10 cm, en la s ciudades de Bogotá 11 muestras, Bucaramanga 1 muestra,  Medellin 1 muestra  y Barranquilla 1 muestra.  La Dirección de Operaciones Sanitarias  procede  a realizar dicha programación, si no se encuentran las muestras planeadas para la toma, se vuelve a reprogramar. S e evidencia correo electrónico proyectado a la Dirección de Operaciones Sanitarias solicitando la nueva programación de toma  de muestras de Jeringas.
Se evidencia formato unico de programacion de Cateteres  partiendio de la Base General de Registros Sanitarios  teniendo en cuenta los cateters  periféricos que son los  que el Laboratorio puede analizar y asi se determina cuales de estos cumplen con los criterios establecidos  para proceder a realizar el muestreo.Segun POA,  para este producto son 10 muestras: 5 en Agosto y 5 en Septiembre en la ciudad de Bogotá.
Se evidencia mapa de priorizacion de muestreo por riesgo (equipos de Macrogoteo), de igual forma los establecimientos y ciudades donde se va a muestrear:Barranquilla 1, Guarne (antioquia) 1, Bucaramanga 1, de un total de 10 muestras. Se toma para este muestreo la base de registros sanitarios, teniendo en cuenta  los criterios establecidos para proceder  a muestrear.
las actividades Enviar muestras tomadas al Laboratorio, Realizar ensayos a las muestras tomadas (Preservativos), Remitir resultados por parte del Laboratorio, Programar las visitas de toma de muestras por parte de la Direccion de Operaciones Sanitarias (Jeringas) , Realizar visitas de toma de muestras por parte de la Dirección de Operaciones Sanitarias (Jeringas), Enviar las muestras tomadas al Laboratorio (Jeringas), Realizar los ensayos a las muestras tomadas (Jeringas)  y remitir resultados por parte del Laboratorio (Jeringas), una vez realizada la tutoria estan desarrolladas de acuerdo  a  los tiempos establecidos y programados en el cronograma de  actividades.
Dentro de los entregables correspondientes a las actividades mencionadas en la fase de Desarrollo se evidencia lo siguiente:
-A la fecha se han enviado 14 muestras de preservativos al Laboratorio, se evidencia formato de envio, y se han recibido de igual forma 14 muestras del Laboratorio. Se ha enviado comunicado de los reportes a los establecimientos.
Se evidencia reporte de l Laboratorio de los ensayos a las muestras tomadas.
Se evidencia acta de toma de muestras (Jeringas) de la actividad Programar visitas por parte de la Dirección de Operaciones Sanitarias, de la cual una copia reposa en el expediente del establecimiento y la otra copia reposa en el Laboratorio.
De las 11 muestras tomadas de Jeringas y remitidas al Laboratoriol  alas 11 muestras  se les harealizado los ensayos correspondientes.
El informe es remitido a la Dirección de Dispositivos , alli una vez revisado se hace oficio a los establecimientos reportando los resultados. (Cuando no cumplen se procede a tomar la Medida sanitaria)El desarrollo de la tutoria de la Fase de Analisis del proyecto en mención se realizó en los tiempos establecidos en la Hoja de Vida, en el cual se desarrollo la siguiente actividad de acuerdo al cronograma:
-Revisar informes de resultados de las muestras analizadas y toma de de decisiones (preservativos). Se revisa de acuerdo a Mapa de Riesgos que se creó en conjunto con el Laboratorio, teniendo en cuenta la severidad.  Dependiendo de Si  no cumple o no conforme, se procede al Decomiso y al Recall correspondiente.
9.6 
Una vez realizada la segunda Tutoria en compañia de la Química Farmacéutica Alba Saavedra para  la actividad Proceso de Contratación  pública correspondiente a la fase Contractual  ya se sutió el proceso de contratacion con dos contratos: uno  para compra de reactivos y el  otro  para Stándares primarios.
Producto de los entregables de la Actividad Proceso de contratación pública de la fase Contractual, se evidencia dos contratos :
- Contrato # 257 de 2016 de  Bioquímicos Colombianos Ltda "Biocol Ltda" para compra de Reactivos, donde se especifica el Reactivo, Especificación y cantidad del mismo por valor de $163,403,923.
-Contrato # 254 de 2016 de "Kimia Trading Ltda" para stándares Primarios por valor de $102,764,000.
Referente  la actividad Capacitación y/o impartir directrices a las Seccionales Territoriales en salud, correspondiente a la fase de Toma de muestras enmarcada en el cronograma inicial, se realizó   dentro de los tiempos establecidos  para su ejecución y  se evidencia para esta actividad Actas y listados de asistencias  de los  funcionarios designados en cada secretaria  , relizadas por los funcionarios de la Dirección de Medicamentos y Productos Biológicos .
El Proyecto presenta un avance de ejecucuíon de 26%.
</t>
  </si>
  <si>
    <t>11.1 *Se llevó a cabo en el ministerio de agricultura el 28 y 29 de sept de 2016 reunión con China correspondiente al III Comite conjunto de agricultura en el que participó el Viceministro de agricultura de China, Viceministro de agricultura de Colombia, Viceministro de comercio, entre otros. * Con Cuba se tienen actas del 19 de agosto y 05 de septiembre en las que se realizó la revisión del apendice de facilitación al comercio especificamente de medicamentos, dispositivos y cosméticos, el cual se desarrolló en el ministerio de comercio con participación de ministerio de salud y oficina asesora jurídica del Instituto. * Entre el 27-29 de julio el Director General tuvo participación en la segunda reunión de expertos en cooperación agricola entre Colombia e Indonesia. * Reuniones virtuales con Perú relacionados con el tema de gabinete binacional. * El 24 y 25 de agosto en Quito-Ecuador reunión de vicecancilleres en donde basicamente se hizo seguimiento de compromisos gabinete binacional. * Comunidad Andina de Naciones en donde se tratan temas de modificación de la decisión 516 y modificación de anexo técnico de esa decisión especificamente BPM. * Se han tenido reunionesrelacionadas con Alianza del pacífico. * Representante de cancilleria convoca a reunión preparatoria relacionada a consultas políticas en el marco del TLC con Corea, la finalidad era realimentar a cancilleria, procolombia y mincomercio sobre este logro del Instituto. * El Invima asiste a invitación allegada por parte de USDA-Procolombia a socialización de Irradiación fitosanitaria como alternativa para el acceso de frutas y vegetales al mercado de USA. * 09-08-2016 reunión proyecto PINES - exportación carne bovina.
11.2 En el marco de la ejecución del proyecto, FONADE será la entidad que con los recursos públicos y los aportados por las plantas seleccionadas, adelantará la gerencia del proyecto, dotando al Invima de los bienes y servicios requeridos para la implementación y ejecución. Lo anterior mediante un convenio celebrado con Bancoldex.
A la fecha se cuenta con un rubro de $5.000.000.000, aportado por el sector público, para iniciar el primer año de ejecución del proyecto. Se espera la entrega de $2.900.000.000 por parte del Ministerio de Agricultura y Desarrollo rural como aporte para ejecución del proyecto. los recursos aportados por las plantas se destinarán principalmente para la cobertura de los siguientes rubros:
* Contratación de inspectores veterinarios y auxiliares, viaticos y gastos de viaje, adquisición de insumos para la toma de muestras, contratación de análisis de muestras, transporte de muestras, adquisición de equipos de laboratorio, insumos y reactivos, entreo otros (un total aprox de 55 contratos a celebrarse durante el primer año)</t>
  </si>
  <si>
    <t xml:space="preserve">12.2 Para este tercer trimestre se realizaron las reuniones pertinentes relacionadas a realizar capacitaciones y sensibilización en temas de servicio, capacitaciones en las diferentes cámaras de comercio a nivel nacional, se ha cumplido en el tiempo estyablecido con la reestructuración de los canales de comunicación tales como FAQ (preguntas frecuentes), portal de encuestasy el aplicativo de correspondencia. Adicionalmente se realizó un contrato con la firma RCTV para la realización de unos videos informativos. La oficina de atención al ciudadano ha trabajado de forma organizada y cumple a satisfacción con las actividades dentro de los tiempos establecidos.
12.3  El grupo de gestión contractual ha realizado el cumplimiento de su cronograma al realizar las actividades relacionadas de acuerdo a las fechas programadas en el cronograma </t>
  </si>
  <si>
    <t xml:space="preserve">113.1 Dentro del segumimiento desarrollado se evidencia que ya cuenta con el control de cambios respectivo aprobado por el Gerente del programa, pendiente autorizacion por parte de DG.  el cambio solicitado es el siguiente: "se solicita modificacion al cronograma en todas sus fases de acuerdo a la modificacion de la hv" y "se solicita modificacion a la hoja de vida del proyecto".
13.2 Dentro del segumimiento desarrollado se evidencia que ya cuenta con el control de cambios respectivo aprobado por el Gerente del programa, pendiente autorizacion por parte de DG.  el cambio solicitado es el siguiente: realizar modificacion del cronograma en todas sus fases para darle continuidad a partir del 01-01-2017.
13.3 se realiza seguimiento al proyecto presentando un avance del 82%  en todas sus fases este ajuste ya cuenta con la modificacion en el cronograma para aumentar sus fechas de ejecucion hasta el 30 de diciembre de 2016, en las actividades ejecucion y desarrollo de las actividades para las adecuaciones fisicas del Invima y la ejecucion y desarrollo de las actividades para la dotacion del mobiliario para las sedes del Invima, toda vez que se requieren realizar adecuaciones a los ascensores del Invima de acuerdo a la norma NTC5926-1,  adicionar los contratos de suministro de mobiliario para las sedes del Invima y laboratorios, el  valor de $34.876.560 y  adecuar el acceso a personas con discapacidad en la sede carrera 10 No. 64-60, al amparo del cumplimiento de la Ley No. 1618 de 2015.
13.4 avance del 71% en todo el proyecto, cumpliendo con el 100% de su fase de planificacion , con un avance del 87% en su fase de contratacion y con un iincio de la fase 3 del 10%. en materia presupuestal el  96% de los recursos ya cuentan con certificado de disponibilidad presupuestal equivalente   a 961 millones de pesos de los cuales 184 millones ya cuentan con registro.  Contrato No 239 - 2016-C.O. 239 DE 2016 PARA REALIZAR LAS ADECUACIONES FISICAS PARA LA SEDE DE NEIVA DEL GTT CENTRO ORIENTE 3 UBICADA EN LA CALLE 18A No. 7A 14 DEL BARRIO CAPO NUÑEZ-RAELJA INGENIERIA LTDA.
13.5 Dentro del seguimiento realizado en la presente tutoria se evidencia un avance del proyecto del  80% finalizando la fase de desarrollo y quedando pendiente el desarrollo de la ultima fase en lo que resta de vigencia, se cumple con el coronograma establecido y los entregables propuestos, queda programada una reunion con todo el grupo para definir el documento final y validar la posibilidad de incluirlo como insumo para la  posible modificacion de la resolución 719 de 2015.
13.6 ejecucion del 100% en todas sus fases, con lo que se cumple el objetivo del proyecto que es Formular un proyecto Inversión para el Grupo de Gestión Documental y Correspondencia de la Secretaria General del Invima. se biabiliza el proyecto mediante codigo BPIN 2016011000086 Con el nombre FORTALECIMIENTO DE LA GESTIÓN DOCUMENTAL DEL INVIMA, EN TECNOLOGIA E INFRAESTRUCTURA A NIVEL NACIONAL, se evidencia Ficha EBI del proyecto informando que se incluyo dentro del anteproyecto de Presupuesto 2017 solicitando recursos Nacion para su finaciacion, luego de comunicada la cuota de Inversion por parte de la direccion de finanzas publicas del DNP.
13.7 se realiza seguimiento presentando un avance del 33% cumpliendo con el 100% de las actividades de  la fase 1. de Planeacion, fase que no requeria recursos para su ejecucion sin embargo para  las demas fases del proyecto se hace necesario la incorporacion de recursos  que estaban contemplados por el convenio MINCIT y que finalmente no se suscribio por lo que las fase 2 y 3 de ejecucion y cierre respectivamente no se podran ejecutar; en tal sentido  la  OAP  pasará control de cambios  solicitando una modificacion en el cronograma  y ampliacion en el Horizonte para inciar la segunda fase en 02-02-2017 y finalizar en 30-03-2018, ajustando el costo del proyecto a 172 millones Aprox, lo anterior en espera de la autorizacion por parte de DG.
</t>
  </si>
  <si>
    <t>14.1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
14.2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
14.3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
14.4 Si bien es cierto que el sistema ya ha sido probado y ya se han realizado las capacitaciones pertinentes a los usuarios, éste sistema aún esta sujeto a cambios y ajustes que no dependen del proyecto como tal sino del IUM (Identificador Único de Medicamentos), sólo hasta que el IUM se defina operativamente se podrá incluir actualización en el sistema los ajustes que en éste se contemplen y se procederá a realizar la capacitación al usuario final.
Las fallas presentadas en el sistema han obligado a realizar ajustes y nuevas prubeas para poder hacer entrega del producto final. De las pruebas adelantadas surgen nuevas necesidades o requerimientos las cuales son atendidas por el grupo en la plataforma tecnológica de acuerdo a la priorizacion que se le ha dado.
La Oficina Asesora de Planeación sugiere que se validen las fechas o actividades que no han tenido cumplimiento esperado o planeado por las diferentes situaciones mencionadas (Priorización - IUM - Fallas y/o Ajustes) y de ser necesario se radique control de cambios tal como lo contempla el procedimiento " FORMULACIÓN Y SEGUIMIENTO AL PLAN ESTRATÉGICO DEL INVIMA" Código: GDI-DIE-PR006.</t>
  </si>
  <si>
    <t>15.1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
15.2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
15.3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
15.4 Se llevó a cabo reunión con el Jefe de la Oficina de Tecnologías de la Información y de común acuerdo con los profesionales de la Oficina Asesora de Planeación se determinó que la dependencia no realizará el reporte correspondiente al seguimiento del tercer trimestre de 2016, situación que lleva a mantener los porcentajes de ejecución reportados hasta la segunda tutoría, lo anterior obedece a la contingencia que se presenta en el Instituto. Cabe señalar que los proyectos a cargo de la oficina se encuentran en ejecución y el reporte total se efectuará en la tutoría programada para IV trimestre de la presente vigencia.</t>
  </si>
  <si>
    <t>16.1 Las actividades  correspondientes a cada una de las fases enmarcadas dentro del Proyecto, se han desarrollado en el tiempo establecido para su ejecución, de igual forma se evidencia cumplimiento en los entregables que soportan cada una de estas actividades.
Ejecución del Proyecto: 77%
16.3 A la fecha de la realización de la III Tutoria,  el Proyecto está en una ejecución de 99 %,  quedando pendiente por realizar las actividades de Medición  de Clima Organizacional Invima 2016, teniendo en cuenta que ya se se hizo el contrato con CRECE , y estas actividades estan programadas para desarrollarse en los meses de Octubre y Novimebre de 2016.
16.4 Una vez realizada la Tutoria III en conjunto con la Dra . Gladys Montoya líder del Proyecto en mención  se evidencia cumplimiento en las ejecución de las actividades programadas.Aprobación de las solicitudes por parte de la comisión de personal, es una actividad de la fase de Ejecución que a la fecha todas las solicitudes realizada están atendidas.
Se llevará a cabo  entrenamientos para el área de Medicamentos ya se está en la elaboración de los estudios previos.
-Entrenamiento de Estabilidad en Medicamentos
-Técnica de Auditorias y actualización  ISO 9001-2015
-Suplementos Dietarios
-Marihuana
Avance dep Proyectyto: 72%</t>
  </si>
  <si>
    <t xml:space="preserve">17.1 . Este proyecto en presente vigencia no se va a desarrollar fundamentalmente  por falta de recursos los cuales iban a ser aportados por parte de MINCIT.
17.2 El control de cambios se formalizó estableciendose uin nuevo cronograma para el cargue de la informacion por parte del proveedor Sapiens.
En este sentido los laboratotrios realizaron los ajustes requeridos por el proveedor, sin embargo, se requirio al proveedor iniciara cargue de la informacion teniendo en cuenta que algunos ajustes se podian solucionar durante el  proceso de produccion.
Esta situación se ha escalado directamente al jefe de la Oficina de Tecnologias de la información a fin de solucionar los inconvenientes presentados con  el proveedor.  A la fecha estamos a la espera de que surta efecto la realizacion de las actividades finales del proyecto.
En este sentido se evidenciaron los correos electronicos  enviados por los laboratorios a la oficina de tecnologias de la información (Dr. Maldonado y a la Ing. Sandra Bello), lo que permite evidenciar claramente el seguimiento y realizacion de las actividades establecidas en el cronograma del proyecto por parte de los laboratorios.
Este proyecto a la fecha no presenta avance en la eta final del proyecto correpsondiente al cargue de la informacion y puesta en marcha del modulo
17.3 Se cuenta con contrato interadministrativo No. 294 de 2016 con la Universidad de Antioquia, se evidencia cronograma de trabajo de actividades, acompañado de actas de seguimiento No. 1,2 y 3. Adicionalmente se cuenta con Actas de reuniones virtuales No. 1, 2 y 3. De acuerdo al contrato interadministrativo se encuentra en la etapa de diagnóstico con los siguientes productos:Informe No1. Información general sobre los dispositivos medicos, Informe No2. Normatividad sobre catéteres intravenosos y suturas, Informe No3. Análisis de reportes de falla en las bases de datos del INVIMA, Informe No4  Reporte de búsqueda de análisis de fallas y entes regulatorios internacionales, Informe No5. Metodología de la búsqueda de información e Informe No. 6 Final Calidad dispositivos médicos. </t>
  </si>
  <si>
    <t xml:space="preserve">9.1  El estado del Proyecto es Crítico, debido a que éste debia cerrarse a 16 de marzo de 2016, se ha realizado controles de cambio asi: 31 de mayo de 2016, 31 de agosto de 2016,31 de Octubre de 2016,  lo anterior obedece a actividades tales como analisis de muestras que estan a cargo de la Oficina de Laboratorios y Control de Calidad y que por cuestiones ajenas a la Dirección de Cosméticos no han cumplido con las fechas definidas inicialmente. Una vez revisado el proyecto en el mes de septiembre se identifica que se ha incumplido con la fecha definida en una actividad a cargo de la Oficina de Laboratorios y Control de Calidad lo cual implica que el proyecto no presente avance, para lo cual la Oficina Asesora de Planeacón recomienda realizar una reunion de concertación de fechas con la Oficina de Laboratorios y Control de Calidad  para asi definir compromisos que logren el cumplimiento de los entregables de acuerdo a  las fechas definidas en conjunto, sin embargo es necesario presentar UN CONTROL DE CAMBIOS  para ajustar las fechas de acuerdo a lo definido en la reunion. 
Teniendo en cuenta lo anterior este proyecto que fue definido en la vigencia 2015 a la fecha ha presentado 3 controles de cambio y esta pendiente uno por formalizarse, los cuales de acuerdo a lo indicado por la Dirección de Cosmeticos dependen directamente de actividades a cargo de la Oficina de Laboratorios y Control de Calidad .
9.2. Acta de reunión  #1 del 21 de Enero de 2016,cerrando el proyecto  de Demuestra de la Calidad en Dispositios Médiicos para la vigencia 2015. Se realió reunión entre la Dirección de Dispositivos Médicos, la Dirección de Operaciones Sanitarias  y el Grupo de Laboratorio Fisicomecánico de Dispositivos Médicos y Otras Tecnologías, en donde se trataron entre otras temas: Resultados del proyecto de la vigencia 2015, y Proyectados par ala vigencia 2016,y se evidencia informe final  de consolidado de productos generales del proyecto   2015.Informe consolidado de Resultados del Proyecto.
9.3 A la fecha de la realizacion de la segunda tutoria de 2016 (julio 29) se evidencia que todas las actividades enmarcadas dentro de las cuatro fases correspondientes al Proyecto y programadas dentro del coronograma incial de actividades, se han ejecutadio en un 100%, por lo que se da cierre al Proyecto Demuestra la Calidad en Medicamentos 2015.
El informe final del proyecto se encuentra en Dirección General,toda vez que ya fue  revisado y aprobado por la Doctora Luz Helena Franco Chaparro Dirección de Medicamentos y Productos Biológicos.
Es de anotar que la ejecucion del Proyecto no se terminó en la fecha programada incialmente para dicho fin, y se debio realizar controles de cambio, porque se dependia de otra dependencia para el cierre, en este caso de la Oficina de Laboratoriso y Control de Calidad.
9.4 En general las actividades de las diferentes Fases del  Proyecto  se han ejecutado dentro de las fechas establecidas y se evidencia  los entregables correspondientes para cada una de elllas  .Se recomienda tener en cuenta la reposiión de producto ya que a la fecha  de las cinco ciudades en las que se ha muestreado, solo se ha hecho  esta reposición en Santa Martha.
9.5 Una vez hecho el seguimiento a la ejecución de las actividades del  Proyecto mediante la III Tutoria se pudo establecer que todas estas se han ejecutado dentro de los tiempos y lineamientos establecidos tanto en la formulacion  como en el Cronograma inicial de este. De igual forma se evidencia los entregables correspondientes a cada actividad.
A continuación  se relaciona  el estado de avance de ejecución en porcentaje de cada una de las fases   a Septiembre 26 de 2016:
 -Diagnóstico y Planificación : 100%
-Fase de Desarrollo:                         72%
-Fase de Análisis:                               42%
-Fase de Cierre:                                    46%
Ejecución Parcial  del Proyecto: 62%
9.6 Se evidencia los contratoos  para el suministro de estándares primarios, insumos y rectivos  a los Laboratorios del Invima. 
Se evidencia actas de las Secretarias de Salud mediante las cuales se hizo la toma de muestras en las diferentes ciudades y deptos.
El avance del Proyecto una vez hecho el seguimiento  correspondiente por la Oficina Asesora de Planeación es de 45%.
</t>
  </si>
  <si>
    <t>10.1 / 10.2 / 10.3 / 10.4 / 10.5 Teniendo encuenta que por temas relacionados a la disponibilidad presupuestal para llevar a cabo las actividades del proyecto no fue posible su ejecución, y teniendo encuenta la intención del lider del proyecto en el sentido de suspenderlo hasta que se cuente con los recursos necesarios, la Oficina Asesora de Planeación sugiere radicar control de cambios tal como lo indica el "PROCEDIMIENTO FORMULACIÓN Y SEGUIMIENTO AL PLAN ESTRATÉGICO DEL INVIMA-Código: GDI-DIE-PR006" en el que se relacione y formalice la solicitud de SUSPENCION del mismo y de esta manera excluirlo parcialmente del Banco de proyectos hasta que se de solución a la limitante.
10.6 - Dado que no se cuenta con una plataforma para la captura de la información, el grupo de la dirección de alimentos realiza dicha gestión mediante correo electrónico consolidando en matriz correspondiente. Como se había indicado en la tutoría No 2, se ha trabajado con el web master del instituto en la creación de plataforma para captura de la información, sin embargo se esta evaluando si dicha herramienta cuenta con la capacidad para atender el volumen de usuarios y soportar la cantidad de información que en ella se reportaria.
- Se han establecido 3 grupos en el plan de auditorias asi: 1) Costa Caribe 2) Centro del pais 3) Occidente y territorios nacioanles, las cuales se ejecutaran en 16 semanas.En cuanto a los formatos que se han levantado se sugiere validarlos con el Grupo de Calidad de la Oficina Asesora de Planeación.
- Canada, Chile, Mexico, Argentina, USA han sido paises que se han tomado como referencia en cuanto a estrategias IEC, de igual manera a nivel nacional el Ministerio de Salud y Protección Social.
- En cuanto a la cartilla para los vigilados se sugiere validar presupuesto de imprenta nacional a cargo del grupo de comunicaciones para validar si es posible utilizar dicho rubro para impresión de cartillas.
- Para octubre se tienen programadas capacitaciones en Tumaco, Buenaventura, Bucaramanga, Ibague y Caquetá.
- Para noviembre se tienen programadas capacitaciones en Leticia, Guaviare, Choco, Pereira. 
10.7 Aspectos relevantes a tener en cuenta producto de los documentos entregados:
1) Con este estudio la misional esta replanteando la manera de evaluar el trámite.
2) En todos los paises que se tomaron como referencia la solicitud se realiza on-line.
3) Los registros tienen vigencia de 5 años mientras que Invima a 10.
4) Se han incluido casos específicos que se han presentado con biomateriales en prótesis mamarias, marcapasos, entre otros.
Existe actualmente una limitante que puede afectar la ejecución del proyecto la cual se presenta dada la necesidad de adquirir unas normas especificas. Por su parte la dirección ha realizado gestión con la oficina asesora de planeación relacionada a disponibilidad presupuestal y de esta manera poder dar solución y atender dicha necesidad.
La Oficina Asesora de Planeación informa que en caso de presentar retraso alguna de las actividades planteadas a desarrollar en el cronograma, y de ser necesario, el procedimiento contempla la opcion de formalizar control de cambios en el que se ajusten fechas y actividades.
10.8  La dirección misional ha realizado requerimientos a la empresa Global News Colombia relacionadas a capacitaciones-charlas y entrega de información relacionada a publicidad de alimentos y bebidas, mediante correo electrónico, tales solicitudes serán atendidas y se encuentran en concertación de detalles tales como las fechas de entrega o ejecución, temas a tratar y la manera en que se efectuarán.
- Las entregas de parte del contratista se realizan cada 15 días (Cada entrega contiene 2 cds con: A) 40 evidencias de publicidad para alimentos y bebidas B) 25 evidencias de publicidad para bebidas alcoholicas). A la fecha se han recibido 5 entregas, dicha información allegada es consolidada por el grupo en una sóla matriz clasificandola de acuerdo al producto. La información tambien se encuentra en la plataforma web del contratista, la cual puede ser consultada por los funcionarios encargados del Instituto mediante usuario y contraseña que les fue habilitado. Con las piezas capturadas de parte del contratista, el grupo de la Dirección de Alimentos realiza el análisis correspondiente de acuerdo a la normatividad vigente y de esta manera tomar medidas necesarias. Quedan pendientes 3 entregas de parte del contratista.</t>
  </si>
  <si>
    <t xml:space="preserve">1,1 Se evidenció el cumplimiento a las actividades programadas en la Fase 3: Cierre del Proyecto se elaboro un documento de analisis de las 44 encuestas aplicadas haciendo uso del Formato ASS-ESA-FM006 Tabulación de evaluaciones de capacitación donde se evaluaron los siguientes aspectos: Metodologia, Material, Capacitadores y organización del evento, los resultados obtenidos dentro de los anteriores items muestran resultados positivos. 
1,2 El desarrollo de este proyecto se realiza mediante el convenio No 115 suscrito con la UNAL para este caso  se ejecutan los $12,500,000 del total de los recursos designados para este proyecto  se obtiene una ejecución del 100% y no se presentan contratiempos y se cumple con las fechas actividades y entregables definidos al inicio de la vigencia, con este proyecto se logra la actualización del módulo de enseñanza y aprendizaje e-learning del Programa Nacional de Reactivovigilancia e inclusión de la unidad para el manejo de los formatos de reporte de los efectos indeseados.
1,3 El proyecto "Educación Sanitaria virtual del Programa Nacional de Tecnovigilancia" durante la realización de esta tutoria se evidencia un auna ejecucion en el desarrollo de las actividades en un 100% con lo cual se logra asi  Realizar Capacitaciones a través de ambientes virtuales y Asistencias Técnicas del Programa Nacional de Tecnovigilancia, , como resultado de la aplicación de modulos virtuales de tecnovigilancia para la transferencia de conocimiento dirigos a los diferentes actores del Programa Nacional de Tecnovigilancia y agencias sanitarias homologas  los cuales fueron certificados, mejorando la gestión de la vigilancia postcomercialización de dispositivos medicos
1,4  El proyecto "Fortalecimiento de la gestión de Riesgo Clínico (capacitación y asistencia técnica en metodología  AMFE) en el Programa de Reactivovigilancia tiene una ejeción del 100% de las actividades con el cual se logra la participación de 8 Se realizo 8 jornadas de asistencia técnica en las ciudades de Bogota en (Clinica Palermo, E.S.E Hospital Santa Clara), Bucaramanga en (Laboratorio Higuera Escalante, Fundación Cardiovascular), Cali en (Organización Área CMI Laboratorio - Centro Médico Imbanaco), Barranquilla en (Laboratorio Continental S.A.S, Hospital Universitario Cari) y Medellín en Banco de Sangre-Cruz Roja Colombiana-Seccional Antioquia) en la aplicación de sistema de gestión de riesgo clínico mediante la metodología AMFE  y realizar  seguimiento a las 6 instituciones que fueron objeto de implementación en el año 2015 en las ciudades de Bogotá en (Hospital Simón Bolívar, Unidad de Servicios en Salud Occidente de Kennedy), Cali en (Clínica de Occidente de Cali, Hospital Universitario del Valle), Medellin en (IPS  Universitaria de Antioquia, Hospital General de Medellín) en el  Seguimuiento de Implementación del Sistema de Gestión de Riesgo Clínico mediante la aplicación de la metodología AMFE a IPS abordadas en el año 2015.
1,5  Se obtuvieron conclusiones de la mesa de trabajo sobre temas como seguimientos a los protocolos, composición/miembro de la comunidad, guías operativas / reflexión, argumentación y deliberación e  independencia.
Se espera dar continuidad al acercamiento con los comités de ética, con el fin de abarcar temas de interés en lo relacionado con las responsabilidades, composición y procedimientos en materia de protección de los derechos de los participantes en investigación clínica.
1,6  En el desarrollo de la tutoría realizada, se evidenció en ml plataforma de Colciencias, la inscripción de dos proyectos: Diseño y Validación de un nuevo tetraplex usando el método de PCR en tiempo real para el Screening de OGM e alimentos procesados y granos y  Diseño y validación de dos pentaplex y un tetraplex para la detección cualitativa de 14 eventos de transformación genética en soya. Igualmente, se informa que se llevará a cabo la inscripción de dos proyectos adicionales.
Se constató el monitoreo y seguimiento a las activiades, culminando con la realización del I Encuentro Acade´mico- Científico del Invima realizado en el Ministerio de Salud  y Protección el 23 de Noviembre de 2016
1,7 Dentro de la realizacion de la tutoría se evidenció que se realizaron 8 visitas de asistencia técnica en la implementación del Decreto 1500 de 2007, a plantas de beneficio de bovinos y porcinos, plantas de tipo Nacional y Autoconsumo en los municipios de: Zipaquirá, Chocontá, Tauramena, Arauca, Miraflores y Samaná, con la participación de 28 personas en las cuales están incluidos alcaldes municipales, gerentes y funcionarios de plantas de beneficio. Se realizó una verficación in situ de cada uno de los requerimientos de la normartividad Decreto 1500 de 2007 y Resolución 240 de 2013, en donde se aclaron las inquietudes normativas y se brindó orientación en la aplicación de normatividad, para lo cual se diligenció el formato de evaluación de nivel sanitario de plantas de beneficio, acta de diligencia IVC-INS-FM054, Formato de Asistencia Técnica ASS-ESA-FM005, listado de asistencia GDI-DIE-FM002 y Evaluación de la Asistencia Técnica ASS-ESA-FM007.
De las asistencias técnicas se generaron los informes correspondientes a cada una de las visitas.
1,8  A fecha de la fecha de la tutoria se publicaron en las redes sociales del Invima 8 capitulos de la campaña de educación sanitaria "A lo Sánchez", teniendo como resultado un impacto 2.175.850 reproducciones y 10.255.092 personas alcanzadas. 
Para la temporada de navidad se ejecuta la campaña de educación sanitaria "Cual es cual", que busca que los ciudadanos reconozcan en el caso de las bebidas alcoholicas las que presentan adulteraciones.
Se trata de un experimento social en el cual se va a establecer de las personas entrevistadas cuantas pueden reconocer una botella de licor original de una adulterada, se realizaran en total 20 tomas en las ciudades de Bogota y Cali, con los resultados del experimento,  se van a realizar piezas para redes sociales al igual que un video.
Con los resultados del experimento se pretende desarrollar contenidos mediáticos que le permitan a la entidad llegar a un gran número de personas en la temporada navideña que es cuando mas bebidas alcohólicas se consumen.
1,9  A fecha de la fecha de la tutoria, el grupo de comunicaciones evidenció el trabajo articulado con entidades como la Policia Fiscal y Aduanera (Polfa) Policia Metropolitana de Bogotá, que permitió incautar en un centro comercial del conocido sector de San Victorino en el centro de Bogotá, aproximadamente 15 mil unidades de productos fraudulentos que atentan contra la salud de los colombianos. Para esta actividad se realizó una rueda de prensa, comunicado de prensa y gestión de publicación en los diferentes medios de comunicación del país.
El Invima y el Instituto Nacional de Salud, realizaron en conjunto una rueda de prensa en las instalaciones del Invima el día 4 de noviembre de 2016, con el fin de informar y aclarar a la  ciudadania los niveles de mercurio encontrados en un lotes de la empresa Van Camp's.
1,10 A la de la fecha de la tutoria el grupo de comunicaciones evidencia la realización de 22 comunicados de prensa y 28 alertas sanitarias enfocadas en la prevención del riesgo sanitario asociado al consumo de productos competencia del Invima. Adjutamos cuadro de excel en donde se evidencia la realización de la información antes descrita.
1,11  A la fecha de la tutoria se evidencia el diseño y planeación de la campaña Invima Soy Yo que busca generar sentido de pertencia en los funcionarios de la Entidad. 
1,12 Para la realización de ésta actividad se contrató la Universidad de Antioquia. Durante la tutoria se evidencia la propuesta de currículo enviada por  la universidad contratada la cuál será presentada a las Direcciones Misionales y la Dirección General. En el presente año, se deberá contratar el desarrollo e implementación de los contenidos de los módulos que se determinen.
La propuesta de malla curricular entregada prevé estructurarse en siete (6) áreas temáticas con sus respectivos cursos, módulos, temas y subtemas (con su respectivo número de horas). Curso 0: Familiarización con la plataforma Moodle en aula virtual “Programa de
capacitación en malla curricular INVIMA”.
</t>
  </si>
  <si>
    <t xml:space="preserve">3,1 El proyecto "Desarrollar los protocolos de investigación a Dispositivos Médicos señalizados de difícil trazabilidad para implementar la Vigilancia Intensiva en Colombia a través de la Red Centinela" presenta una ejcuión final del 100% y del 100% de ejecuión presupuestal  n el marco del convenio 151  de 2016 con la UNAL, dado a que se da cumplimiento a la totalizad de las actividades definidas inicialmente con lo cual se logra  Mantener y potenciar el crecimiento de los Centros Centinelas de la Red Centinela con la Vigilancia Intensiva toda vez que los documentos entregables de este proyecto quedaran publicados en la pagina web como consulte en cuaqluier momento por parte de los actores del programa de Tecnovigilancia.
Esta ejecución es producto del avance que el proyecto presento de acuerdo a las actividades realizadas por el Grupo de Tecnovigilancia en acompañamiento de los expertos de la UNAL resaltando los procesos de formación al personal asistencial de cada una de la IPS participantes del piloto de implementacion de vigilancia intensiva para mejorar el reporte de eventos adversos que asu vez influye en la información que se puede capturar con la cual a futuro se incluira dentro de la base global de tecnovigilancia para fortalecer el procesos de señalizacion que tiene incorporado el Programa.
3,2  El proyecto “Módulos para la notificación y consulta en línea de los reportes inmediatos y trimestrales de eventos e incidentes adversos asociados al uso y trazabilidad de los dispositivos médicos implantables en el país” El proyecto continua con un avance del 63%, lo anterior teniendo en  cuenta que  las actividades que tiene entregables a cargo de la Oficina de Tecnologías de la información no han sido entregados en las fechas establecidas
</t>
  </si>
  <si>
    <t>4,1 El proyecto Actualización del aplicativo Online para los reportes de los efectos indeseados asociados al uso de los reactivos de diagnóstico in vitro cuyo objetivo es Actualización del aplicativo Online para los reportes de efectos indeseados asociados al uso de los reactivos de diagnóstico In vitro, de acuerdo a la codificación y términos planteados en la NTC 5736:2009, no tiene avanvce y su porcentaje de ejecución es de  un 33%
4,2  El proyecto Validación de la metodología de señalización (SIGNAL) aplicada a los reactivos de diagnóstico in vitro, se ejecuta en un 100% dando cumplimiento a las actividades definidas en la formulación del proyecto mediante el cual se logra la Validación de la metodología SIGNAL aplicada a los reactivos de diagnóstico In vitro, mediante el uso de un número creciente de reportes de efectos indeseados, lo anterior toda vez que una vez evaluado el comportamiento de la metodología “signal” en estos tres periodos del 2016, se puede evidenciar que el número de incidentes y efectos adversos aún es muy bajo para que los estadísticos propuestos (POR,PRR, Chi2, n&gt;3) estimen de manera adecuada la señalización de un Reactivo, por lo tanto es necesario aumentar el numero de reportes que permitan una mayor muestra para el analisis, no obstante SIGNAL permite la identificación de productos que puedan estar involucrados en la materialización de un evento adverso.</t>
  </si>
  <si>
    <t>5,1 Se realizan las actividades de cierre de los planes de muestreó ejecutados en el año 2015-2016 en los cuales se realizaron los procedimientos del  programa oficial de control de salmonella spp. en establecimientos faenadores, operadores y/o elaboradores, productores de  carnes de aves, cerdos y bovinos. Se realizó la retroalimentación con el ministerio de salud y protección social en referencia a los planes de muestreo para el establecimiento de los estándares de desempeño y controles de proceso según lo establecido en la resolución 2690 del 2015, para plantas de beneficio animal.
5,2  Se realizan las actividades de cierre de los planes de muestreó ejecutados en el año 2015-2016 en los cuales se realizaron los procedimientos del  programa oficial de control de salmonella spp. en establecimientos faenadores, operadores y/o elaboradores, productores de  carnes de aves, cerdos y bovinos. Se realizó la retroalimentación con el ministerio de salud y protección social en referencia a los planes de muestreo para el establecimiento de los estándares de desempeño y controles de proceso según lo establecido en la resolución 2690 del 2015, para plantas de beneficio animal. adicionalmente se realiza la elaboracion de la GUÍA DE VERIFICACIÓN OFICIAL DE PATÓGENOS EN PLANTAS DE BENEFICIO ANIMAL PARA EXPORTACIÓN Y PRODUCCION NACIONAL.
5,3  Se realiza seguimiento de los planes de monitoreo año 2016 para los planes  que a continuación se relacionan con el número de muestras programadas, numero de muestras tomadas y porcentaje de avance a la fecha
la Direccion de alimento ha realizado este seguieminto deacuerdo al reporte de la Direccion de operaciones en relacion al total de muetras tomadas mensualmente, sin embargo al encontrar inconsistencias en la informacion se requiere verificacion la cual se llebara a cabo con la oficina de laboratorios de invima a fin de establecer las cifras definitivas dentro de cada plan de muestreo en razon de que se estima un cumlimiento del 101%
5,4  Se realizaron la toma de 353 pools (cada pool esta conformado por 10 submuestras), en 31 plantas de beneficio de porcinos, que se encuentran inscritas y vigiladas por el Invima a nivel Nacional (Distribuidas por GTT de la siguiente manera: 02 GTT CC1 (7 muestras); 01 GTT CO1 (2 muestras); 04 GTT CO2 (99 muestras); 02 GTT CO3 (4 muestras); 10 GTT OCC1(165 muestras); 04 GTT OCC2 (46muestras); 05 GTT Eje cafetero (21 muestras); 01 GTT Orinoquia (6 muestreos); 02 Grupo de apoyo Nariño (3 muestras)). Dentro de las muestras allegadas al laboratorio no se presentaron rechazos. Que pendiente el informe y socialización de los resultados de las muestra analizadas del plan de muestreo.
5,6 Se realiza seguimiento de los planes de monitoreo año 2016 para los planes  que a continuación se relacionan con el número de muestras programadas, numero de muestras tomadas y porcentaje de avance a la fecha
la Direccion de alimento ha realizado este seguieminto deacuerdo al reporte de la Direccion de operaciones en relacion al total de muetras tomadas mensualmente, sin embargo al encontrar inconsistencias en la informacion se requiere verificacion la cual se llebara a cabo con la oficina de laboratorios de invima a fin de establecer las cifras definitivas dentro de cada plan de muestreo en razon que se estima un cumplimiento del 70%</t>
  </si>
  <si>
    <t xml:space="preserve">6,1 Se hizo la presentación del informe final de las muestras analiazadas ante los GTTs.
Proyecto presenta avance de ejecución de 96%. El Proyecto  se encuentra en  retraso en las actividades de Elaborar propuestas al MSPS con varias propuestas y Establecer medidas de control de la Fase de Cierre.
6,2  A la realización de la II Tutoria el Proyecto presenta un avance de ejecución del 96%. Presenta retraso en las actividades de Elaborar propuestas al MSPS con varias propuestas y Establecer medidas de control de la Fase de Cierre
6,3 </t>
  </si>
  <si>
    <t>NA</t>
  </si>
  <si>
    <t xml:space="preserve">7,1 El proyecto presenta un avance del 84% y el desarrollo de las actividades se encuentra dentro de los establecidos en el cronograma de trabajo.
Observación: durante el desarrollo de la tutoría se evidenció un aspecto de gran importancia que esta impactando de manera significativa la efectividad de los resultados del proyecto, si bien es cierto este proyecto se encuentra en ejecución dentro del cronograma de trabajo
7,4  El proyecto presenta un avance del 87% y el desarrollo de las actividades se encuentra dentro de los tiempos establecidos en el cronograma de trabajo.
Observación: se manifiesta por parte del profesional responsable del proyecto que la entrega de los resultados por parte del laboratorio del Invima no esta dentro de los tiempos oportunos, es el caso de mustras remitidas en los meses de Junio, Julio y Agosto cuyos resultados llegaron a finales del mes de Octubre y las muestras enviadas en los meses de Septiembre,Octubre y Noviembre de los cuales no se han recibidos resultados a la fecha.
7,5 El proyecto presenta un avance del 63% y el desarrollo de sus actividades se encuentra dentro de los tiempos establecidos. Como resultado se han identificado 5 análisis de laboratorio no conformes por excedencia de antibioticos y estilbenos (promotores de crecimiento prohibidos) y cuyos resultados fueron reportados al ICA para que esta entidad realice la visitas de inspección y aplicación de medidas sanitarias de acuerdo a sus competencias
El proyecto presenta un avance del 63% y el desarrollo de sus actividades se encuentra dentro de los tiempos establecidos, se han identificado 11 resultados no conformes por presencia de estilbenos (promotores de crecimiento prohibidos) y cuyos resultados fueron reportados al ICA para que esta entidad realice la visitas de inspección y aplicación de medidas sanitarias de acuerdo a sus competencias.
El proyecto presenta un avance del 51% con un desarrollo de sus actividades en los tiempos contemplados en el cronograma de trabajo.
El proyecto presenta un avance del 60% y el desarrollo de sus actividades se encuentra dentro de los tiempos establecidos. Como resultado se han identificado 4 resultados no conformes por presencia de anticoxidiales (antiparasitarios prohibidos) y cuyos resultados fueron reportados al ICA para que esta entidad realice la visitas de inspección y aplicación de medidas sanitarias de acuerdo a sus competencias.
7,6 El proyecto presenta un avance del 71% y se presenta un retrazo en la actividad de análisis de laboratorio que afecta la revisión de los mismos, sin embargo el profesional líder del proyecto manifiesta que el cierre no se va a afectar y que los resultados que faltan se pueden incluir en el informe final sin necesidad de efectuar un control de cambios.
7,7 El proyecto presenta un avance del 65% y la ejecución de sus actividades se encuentra dentro de los tiempos establecidos en el cronograma de trabajo, como resultado se han identificado 9 resultados de laboratorios rechazados sobre los cuales se ha decidido adoptar una medida que consiste en la comunicación del riesgo la cual se hará en conjunto con el Ministerio de Salud y Protección Social.
El proyecto presenta un avance del 61% en donde se han obtenido como resultado de la toma y análisis 15 muestras rechazadas sobre las cuales se han remitido la propuesta con la formulación de las acciones de intervención al Grupo Técnico de Alimentos para revisión y posterior entrega a la Dirección de Operaciones Sanitarias quién ejecutará las medidas pertinentes.
7,8 El proyecto presenta un avance del 79 % 
Observación: se presenta un retrazo en la entegra de los resultados por parte del laboratorio del Invima de acuerdo al cronograma del proyecto, sin embargo el profesional líder manifiesta que dicho restrazo obedece unicamente a los resultados del mes de Diciembre y que no va a incidir en el cierre del proyecto por lo que se dispone de tiempos suficientes para la eleaboración del informe final.
7,9 El proyecto presenta un avance del 80% , se evidencia un retrazo en la toma de muestras por parte de la Dirección de Operaciones Sanitarias debido a que a la hora de la visita se evidencio que ya no se estaba fabricando el producto por lo que fue necesario la selección de nuevos establecimientos, esta situación derivó en el envío de la muestras al laboratorio de España posterior al tiempo planeado y por lo tanto un análisis de las mismas por fuera del tiempo establecido en el cronograma de trabajo.
7,10 El proyecto presenta un avance del 69% con retrazo en la actividad de "realizar análisis de laboratorios" de acuerdo al cronograma del proyecto, sin embargo el profesional líder manifiesta que dicho restrazo obedece unicamente a los resultados del mes de Diciembre y que no va a incidir en el cierre del proyecto por lo que se dispone de tiempos suficientes para la eleaboración del informe final.
7,1 1  El proyecto presenta un avance del 61% con un cumplimiento de las fechas y actividades contempladas en el cronograma de trabajo. Dentro de los resultados del proyecto se han identificado excedencias de conservantes y aflatoxinas en arepas identificados en 35 muestras no conformes.
7,12 El proyecto presenta un avance del 80% y esta dentro de los tiempos establecidos en el cronograma de trabajo, los resultados obtenidos han sido la identificación como organismos geneticamente modificados en productos como pastas alimenticias,bebidas no lácteas,snacks y bebidas de soya granulada.
El proyecto desarrolla sus actividades dentro de lo establecido en el cronograma de trabajo y presenta un avance del 70%
El proyecto tiene un avance del 66%.
Observación: Se manifiesta la dificultad en encontrar productos y variedad de los mismos en el mercado lo cual afecta el cumplimiento de la meta debiendo así reducir el número de muestras a 50
7,13 El proyecto presenta un avance del 71% y se presenta un retrazo en la actividad de análisis de laboratorio que afecta la revisión de los mismos, sin embargo el profesional líder del proyecto manifiesta que el cierre no se va a afectar y que los resultados que faltan se pueden incluir en el informe final sin necesidad de efectuar un control de cambios.
</t>
  </si>
  <si>
    <t>9,1 El estado del Proyecto es Crítico, debido a que éste debia cerrarse a 16 de marzo de 2016, se ha realizado controles de cambio asi: 31 de mayo de 2016, 31 de agosto de 2016,31 de Octubre de 2016,  lo anterior obedece a actividades tales como analisis de muestras que estan a cargo de la Oficina de Laboratorios y Control de Calidad y que por cuestiones ajenas a la Dirección de Cosméticos no han cumplido con las fechas definidas inicialmente. Una vez revisado el proyecto en el mes de septiembre se identifica que se ha incumplido con la fecha definida en una actividad a cargo de la Oficina de Laboratorios y Control de Calidad lo cual implica que el proyecto no presente avance, para lo cual la Oficina Asesora de Planeacón recomienda realizar una reunion de concertación de fechas con la Oficina de Laboratorios y Control de Calidad  para asi definir compromisos que logren el cumplimiento de los entregables de acuerdo a  las fechas definidas en conjunto
9,2  . Acta de reunión  #1 del 21 de Enero de 2016,cerrando el proyecto  de Demuestra de la Calidad en Dispositios Médiicos para la vigencia 2015. Se realió reunión entre la Dirección de Dispositivos Médicos, la Dirección de Operaciones Sanitarias  y el Grupo de Laboratorio Fisicomecánico de Dispositivos Médicos y Otras Tecnologías, en donde se trataron entre otras temas: Resultados del proyecto de la vigencia 2015, y Proyectados par ala vigencia 2016,y se evidencia informe final  de consolidado de productos generales del proyecto   2015.Informe consolidado de Resultados del Proyecto.
9.3 A la fecha de la realizacion de la segunda tutoria de 2016 (julio 29) se evidencia que todas las actividades enmarcadas dentro de las cuatro fases correspondientes al Proyecto y programadas dentro del coronograma incial de actividades, se han ejecutadio en un 100%, por lo que se da cierre al Proyecto Demuestra la Calidad en Medicamentos 2015.
El informe final del proyecto se encuentra en Dirección General,toda vez que ya fue  revisado y aprobado por la Doctora Luz Helena Franco Chaparro Dirección de Medicamentos y Productos Biológicos.
Es de anotar que la ejecucion del Proyecto no se terminó en la fecha programada incialmente para dicho fin, y se debio realizar controles de cambio, porque se dependia de otra dependencia para el cierre, en este caso de la Oficina de Laboratoriso y Control de Calidad.
9,4 A la fecha de la realización de la IV Tutoria se evidencia retrasos en el desarrollo de varias actividades de la vigencia 2016, toda vez que éstas dependen de actividades de la vigencia 2015 ,que no ha sido posible terminar porque su desarrollo está a cargo de terceros.
9,5 Una vez realizada la IV Tutoría  en compañia de  la Dra. Mabel Constanza Barbosa líder del Proyecto en mención, se establece que las actividades programadas en el cronograma inicial se desarrollaron dentro de los tiempos establecidos , lo cual da como resultado una ejecución de todas las fases del  proyecto del 100%. dando cumplimiento a lo proyectado en el momenro de la formulación,  de esta forma se da cierre a dicho proyecto.
Las  muestras tomadas en la vigencia 2016 fueron las siguientes:
-Preservativos:                            14 muestras
-Jeringas:                                         11 muestras
-Catéteres:                                     10 muestras
-Equipos de Macrogoteo:     10 muestras
-Suturas:                                            8 muestras
Total de muestras : 53
9,6 Se realiza la IV Tutoria al Proyecto y se evidencia que las actividades programadas dentro de las diferentes fases se han ejecutado de  acuerdo a las fechas  programadas para su desarrollo.
A cierre de vigencia 2016 se tomaron 204 muestras de medicamentos.
Las fases de definición de principios activos y Contractual presentan un avance de ejecución del 100% y la fase de toma de muestras se encuentra en una ejecución de 41 % a la fecha, para un avance total del proyecto de 50%.</t>
  </si>
  <si>
    <t xml:space="preserve">10,6 - Se emitio resolución 2016041871 del 07-10-2016 con la que se acogen lineamientos para la obtención de autorización sanitaria provisional de transportadores de carne, guía y formatos para tal fin, la cual se publico en diario oficial N°50031 del 19-10-2016. En cuanto al documento para otros sujetos de IVC (preparación y consumo de alimentos, expendio de alimentos, almacenamiento de carne,  almacenamiento de alimentos, bebidas alcoholicas, plazas de mercado, grandes superficies, vehiculos transportadores de alimentos), aun no ha sido acogido por las secretarias dado que se encuentra en revisión, validación y ajustes en conjunto con funcionarios encargados de temas de inocuidad del ministerio.
- A la fecha se ha establecido que todo será mediante formatos de excel, mientras se definen temas tecnológicos que permitan la sistematización del proceso.
- Diseño de plan de auditoria a ETS, se han realizado la totalidad de los formatos correspondientes, asimismo se han adelantado reuniones con la Jefe de Oficina de Control Interno con el fin de poder contar con capacitación en lo relacionado. A raiz de la emisión en el mes de noviembre de la circular 046 de 2016 cambia un poco el panorama en cuanto a las auditorias, situación que se está revisando al interior del Instituto (Dirección Misional, Jurídica, Planeación).
- La estrategía IEC se desarrolló tomando referentes tanto internos (Invima recomienda-A lo Sanchéz-Redes sociales), Nacionales (Ministerio- Revista Semana) como Internacionales (Argentina, Australia, Nueva Zelanda, Brazil, Canadá, Chile, España, USA, Mexico), identificando necesidades a traves de una encuesta a las secretarías, definiendo asi objetivo, público, canales de comunicación y actividades. En cuanto a los recursos para la implementación se requiere material audiovisual, personal apto en secretarías para capacitaciones, viaticos para desplazamiento.
- La guia de condiciones sanitarias y la cartilla "Mirar antes de comprar, buenas prácticas de manipulación de alimentos en ventas en vía pública" se difundirá en 2017 mediente las capacitaciones.
- Encuanto a la Capacitación taller para las ETS durante la vigencia 2016 se llevaron 40 eventos con un total de 1693 participantes,  Asistencia técnica taller para las ETS se registran 177 participantes en 8 eventos y en capacitación a vigilados en 24 eventos se llego a 1020 personas.
10,7   El IETS hace entrega de 1) Documento metodológico y herramientas de implementación para evaluar los estudio de estabilidad de un dispositivo médico (Stents) 2) Documento metodológico y herramientas de implementación para evaluar los estándares técnicos de un dispositivo médico (Stents) 3) Documento metodológico y herramientas de implementación para evaluar la biocompatibilidad de un dispositivo médico (Stents) 4) Documento metodológico y herramientas de implementación para evaluar los estudios clínicos de un dispositivo médico (Stents).
10,8  Dentro de las 11 entregas realizadas de parte del contratista en lo corrido de la vigencia se obtuvieron 256 piezas de bebidas alcoholicas y 427 para alimentos para un total de 683, tal como se presenta a continuación:
Total de entregas realizadas: 11 entregas en CD y aplicativo web
Total de evidencias recibidas: 683 piezas publicitarias
Las evidencias allegadas son analizadas por un profesional del Grupo Técnico de Alimentos y Bebidas, y en caso de incumplimiento se remite a la Dirección de Responsabilidad Sanitaria para el inicio de proceso sancionatorio o a la Dirección de Operaciones Sanitarias para adelantar las acciones de IVC respectivas.
Bebidas Alcohólicas
Total: 256 muestras publicitarias
Productos: cerveza, aguardiente, ron, whisky, Tequila y vodka. 
Análisis:
• 15% de las piezas son objeto de remisión a Responsabilidad Sanitaria porque infringen la normatividad sanitaria principalmente por la omisión de las leyendas obligatorias.
• El 6.7% de las muestras se remiten a la Diros para acciones de IVC o acercamiento para sensibilizar el tamaño de letra utilizado en las leyendas porque es muy pequeña.
• El 67% cumplen con la normatividad a cabalidad
Alimentos y Bebidas:
Total: 427 muestras publicitarias
Productos: Leche y Derivados, Bebidas y Refrescos, Cereales y Tubérculos, Sucedáneos de la Leche Materna, Pan y Productos de Panadería, Confitería, Derivados Cárnicos, Huevos, Alimento en polvo, Bebida Energizante, Gelatina, Frutas y Hortalizas. De las cuales  el 10% de las piezas son objeto de remisión a Responsabilidad Sanitaria porque infringen la normatividad sanitaria o a la DIROS para acciones de IVC.
</t>
  </si>
  <si>
    <t>12.1 Para el último trimestre se realiza la IV tutoría teniendo como resultado la actualización completa de los documentos alineados a la ISO 14001 , al igual se tienen implementados los programas de gestión ambiental institucional y el Grupo Sistema Integrado de Gestión se encuentra realizando los seguimientos pertinentes; así mismo se implementaron 5 indicadores de medición anual para el consumo de resmas de papel, agua, energía, entre otros. Se realiza la preaditoría ambiental con el fin de tener un primer concepto de como se encuentra el sistema teniendo a modo de resultado 2 no conformidades menores y 13 oportunidades de mejora. Es así como se cumple con la ejecución del proyecto en el 100% y el Grupo de Sistemas Integrados de Gestión se encuentra trabajando para la mejora continua del Sistema de Gestión Ambiental.
12.2  Para esta tutoría # 4 se evidenció el trabajo realizado por la Oficina de Atención al Ciudadano con el fin de mejorar y cada día servir mejor al usuario. Lo anterior se evidencia mediante reuniones que se realizaron con las áreas misionales, confecámaras con el fin de que los usuarios puedan tener información acerca de radicar un trámite, se evidencia la creación de FAQ (preguntas frecuentes), portal de encuestas entre otros. Así mismo se pretende llegar a todos los ciudadanos mediante videos informativos los cuales ya se encuentran en edición. La evaluación y el seguimiento quedarán pendientes para esta vigencia 2017.
12.3  En la IV tutoría se verificó el cumplimiento de las siguientes actividades:   
*Revisar las funciones asignadas al Grupo, así como los cargos, los perfiles y los roles de los funcionarios que lo componen.
*Elaborar propuesta de fortalecimiento que contenga actualización de funciones del Grupo de Adquisiciónes, y de estimarse necesario de la distribución y roles de los funcionarios que lo componen. 
* Aprobar propuesta de fortalecimiento que contenga actualización de funciones del Grupo de Adquisiciónes, y de estimarse necesario de la distribución y roles de los funcionarios que lo componen. 
* Socializar actualización de funciones del Grupo de Adquisiciónes, y de estimarse necesario de la distribución y roles de los funcionarios que lo componen. 
* Verificación aleatoria de los documentos elaborados por el Grupo de Adquisiciones a efectos de determinar el cumplimiento de los lineamientos emitidos en el proceso de fortalecimiento.
Dichas actividades permitieron fortalacer al grupo de Adquisiciones en su labores diarias ya que se realizó la actualización de funciones del Grupo de Adquisiciónes y se realizó la distribución de cargas de acuerdo a los perfiles que componen dicha oficina.
12.4  En la IV tutoría de este proyecto se toma como avance la auditoría externa realizada por ICONTEC en el mes de Octubre y obteniendo la recertificación en ISO 9001:2008. Para el año 2017 se tendrá desde el mes de Enero la preparación para la auditoría en ISO 9001:2015 para podernos certificar en la norma ISO 9001 versión 2015</t>
  </si>
  <si>
    <t>13.1 Como consta en el control de cambios adjunto este proyecto se suspende toda vez que se formuló en la vigencia 2015 , con el objetivo adquirir, construir y dotar la infraestructura física de los laboratorios del Invima. Sin embargo va de la mano con un proyecto de inversión que ya cuenta con código BPIN No 2015011000296 en el DNP bajo el nombre "Fortalecimiento de la capacidad en la vigilancia Sanitaria en el Pais", donde uno de sus objetivos especificos es "desarrollar la infraestructura fisica apara actividades de analisis, Referencia y contrareferencia, e einvestigacion y desarrollo",  y su priemer fase contempla actividades como: realizar las obras preliminares necesarias para la ejecucion de la Obra y cimentar el area a construir;  que segun la ficha EBI del proyecto equivale a 14.099 millones,  y para su ejecución requiere de recursos Nación, donde, los objetivos específicos y su alcance depende de la aprobación de estos recursos
13.2  proyecto con control de cambios aprobado por direccion general, para iniciar ejecucion a partir del 01 de enero de 2017.
13.3  una vez realizada la tutoria se evidencia un avance del 100% en todas sus fases y actividades y una ejecucion presupuestal del 99% lo que indica una ejecucion del proyecto del 100% logrando cumplir con el objetivo que es Adecuar y dotar las nuevas sedes administrativas  de los GTT, en las ciudades de Montería y Neiva, ademas se logró realizar la instalación y puesta en funcionamiento del control de acceso para las direcciones y / o dependencias de las sedes del Invima en chapinero, asi como el Suministro e instalación de mobiliario para las oficinas del INVIMA a nivel Nacional y Laboratorios.
13.5  una vez realizado el acompañamiento al proyecto,  se evidencia un avance del 100% en todas sus actividades y una ejecucion finaciera del 100%, por lo que el proyecto cumplió con su ejecucion al 100% cumpliendo con el objetivo de alinear la reglamentacion sanitaria, especificamente la Resolucion 719 de 2015,  a los direccionamientos tecnicos internacionales relacionados con calsificacion de alimentos segun el riesgo en salud publica, de la cual consta una herramienta que permite clasificar los productos que no estan el la resolucion 719 de 2015, y un documento que define la nueva clasificacion.
De la propuesta salen varias recomendaciones y una de ellas es que el documento puede ser un soporte Tecnico para que el Ministerio de Salud y Proteccion Social pueda tomar como insumo para una posible modificacion de la resolucion 719 de 2015, toda vez que la herramienta entregada permite definir mas productos que no estan incluidos en la resolucion.
13.7 No se realiza los controles de cambio del proyecto debido a que no se tiene la certeza de la financiación de los  recursos a asignar para el desarrollo de este proyecto, se esta a la espera de la respuesta de la entidad que posiblemente transferira los recursos (ACTUE), para lo cual se envio la propuesta con el cronograma de trabajo y hoja de vida que contempla las nuevas fases y tiempo de ejecución del mismo, por tal motivo se informa por parte de los profesionales responsables que este proyecto en la vigencia 2016 cerro con el mismo avance correspondiente al 33%, ademas de la solicitud de suspención mediante control de cambio el cual se enviara al Director General para su aprobación.</t>
  </si>
  <si>
    <t xml:space="preserve">14.1 'Desarrollar para cívicos móvil el modulo adjuntar documentos  (90%)
Se realiza levantamiento de información con la Dirección de operaciones Sanitarias y se define y se realiza el desarrollo del servicio web que consiste en adjuntar documentos en el aplicativo web de trámites en línea y aplicativos sivicos móvil o escritorio para la solicitud de inspección sanitaria de alimentos y bebidas en PAPF, móvil la cual permite visualizar los documentos al inspector. Se realizará difusión a funcionarios y usuarios acorde a cronograma para pasar a producción el módulo de adjuntar documentos. 
Actualizar sistema de correspondencia
Se realiza contratación de personal por un valor de $45.760.000 por un término de 9 meses, con el fin de realizar la actualización del sistema de correspondencia acorde a los requerimientos de la Entidad y a las normas del archivo general de la nación.  
Se realizan reuniones con dependencias involucradas en procedimiento para la actualización del aplicativo de correspondencia y levantamiento de información funcional se realiza la entrega de inclusión de nuevas tecnologías de correspondencia derechos de petición de congresistas, sugerencias y denuncias de ilegalidad, Se realizaron las pruebas de desarrollo para alertas y nuevas funcionalidades. Se entrega formato en producción y manual actualizado que se encuentra  en la intranet.
Actualizar  aplicativo procesos sancionatorios 
Se entrega a producción el aplicativo final con los ajustes solicitados incluyendo multigrupos y ciclos adicionales de pasos e integración confirmante, se realiza set de pruebas formato de puesta en producción y Manual actualizado, se encuentra en el módulo de procesos sancionatorios del aplicativo de registros sanitarios, control administración y aseguramiento de los procesos sanitarios llevando trazabilidad y seguimiento a los mismos, generado información para toma de decisiones de la DRS. 
Se ejecutó el presupuesto planeado para esta actividad. 
14.2  Teniendo en cuenta que el proyecto tenia como objetivo: Diseñar, crear e implementar un Datamart (bodega de datos), aplicado al sistema de información de Registros Sanitarios., con ejecución del 95% en las actividades proyectadas: 
Entidades Certificadas por el INVIMA (BPM Y HACCP), 
Se georreferencian conjuntos de datos: bancos de sangre, de georeferenciación de los establecimeintos de alimentos certificados en HACCP, Se realiza la divulgación de georeferenciación a través de redes sociales y pág web Invima con el fin que los ciudadanos conozcan los establecimientos certificados por el Instituto en bancos de sangre y HACCP a través de un sistema dinámico que les proporciona la ubicación exacta del establecimiento certificado a consultar a través de un mapa de Colombia ubicándolos entre coordenadas.   
Se envió correo electrónico a Minsalud el 29 de noviembre solicitando la georefenciación de los establecimientos de alimentos y bebidas certificados en BPM, se realiza el análisis de información y queda pendiente la publicación de esto por el Ministerio, debido a que no cuenta con los recursos y disponibilidad para realizar dicha publicación, esta actividad se retomará en proyecto para 2017.
14.3 Teniendo en cuenta que el proyecto se culmino satisfactoriamnete y que tenia como objetivo:Adquirir y renovar la infraestructura tecnológica y licenciamiento necesario, a través de la gestión de la Oficina de Tecnologías de la Información del INVIMA, con ejecución del 100% en las actividades proyectadas
14.4  Teniendo en cuenta que el proyecto se culmino con el objetivoDiseñar, desarrollar e implementar la automatización de los procesos en el marco de las funciones del INVIMA en la suite BPM/SOA Oracle,  con ejecución del 94% en las actividades proyectadas:
• Se encuentran en ambiente de desarrollo los trámites de registro sanitario y tramites asociados para medicamentos sintéticos en la modalidad de nuevos y renovaciones, se modelo en BPM/SOA. 
• Se diseñaron  los FIE necesarios para los trámites de "Registros Sanitarios y trámites asociados" para Medicamentos Sintéticos en la modalidad "Registros nuevos y renovaciones" se modelo en BPM/SOA.       
• Se diseñaron las pantallas de captura de información para el trámite del "Registros sanitarios y trámites asociados" con renovaciones automáticas
• Se diseñaron los formularios necesarios para capturar la información requerida por el Invima para iniciar el trámite de "Registro sanitario y trámites asociados" de Productos Biológicos
• Se ajustó el desarrollo BPM del procedimiento de "Recepción de trámites" en el Invima en el proceso de "Atención al ciudadano"
• Se mejoraron los formularios necesarios para recibir la información necesaria para la radicación del trámite de Registro sanitario nuevo o renovaciones no automáticas de medicamentos sintéticos en todas las modalidades
• Se documentaron las pruebas realizadas a "Recepción de trámites" de "Atención al ciudadano"; teniendo en cuenta todos los reprocesos autorizados que se puedan dar (Radicación por insistencia)
• Se realizaron la ejecución en el ambiente de pruebas del BPM para el trámite de "Notificaciones" en el proceso de "Atención al ciudadano"
• Se desarrolló en BPM el proceso de "Comisión revisora" para la sala especializada de medicamentos y productos biológicos
• Se revisa el modelo BPMN desarrollado para el trámite de PQRSD en el proceso de "Atención al ciudadano"
</t>
  </si>
  <si>
    <t>15.1 Teniendo en cuenta que el proyecto culmino satisfactoriamnete con el objetivo: Suministrar trámites y servicios a través de medios electrónicos, enfocados a dar solución a las principales necesidades de los usuarios en general en condiciones de calidad, facilidad de uso y mejoramiento continuo, con ejecución del 100% en las actividades proyectadas
15.2  Teniendo en cuenta que el proyecto culmino con el objetivo: Promover que la entidad sea más transparente, participativa y colaborativa en su gestión, mediante el uso de las Tecnologías de la Información y las Comunicaciones, con ejecución del 99% en las actividades proyectadas:
15.3  Teniendo en cuenta que el proyecto culmino satisfactoriamente con el objetivo:Implementar las prácticas determinadas por parte del MinTIC para la planificación, gobierno y gestión de las Tecnologías de la Información en el Instituto, alineadas con la Planeación Estratégica Institucional y los requisitos de Arquitectura Empresarial para TI, con ejecución del 100% en las actividades proyectadas
15.4  Teniendo en cuenta que el proyecto culmino el objetivo: Implementar la fase II del sistema de gestión de seguridad y privacidad de la información para la Institución., con ejecución del 95% en las actividades proyectadas</t>
  </si>
  <si>
    <t xml:space="preserve">16.1 Se evidencia que la ejecución de las actividades al igual que los entregables de las diferentes fases  se han cumplido  dentro de los tiempos establecidos para su desarrollo.
Ejecución: 99%.
16.3 Todas las actividades correspondientes a las diferentes fases del Proyecto, se desarrollaron en los tiempos programados para su ejecución. Se da cierre al Proyecto teniendo una ejecución de 100%.
16.4  La contratación de las necesidades aprobadas por la comisión de personal , desarrollo y ejecución y Supervisión de los servicios y características contartadas   presentan ejecución del 100% ,  esto debido  a que se  tuvo cumplimiento dentro de las fechas establecidas.
Se evidencia para las actividades de Contratación de las necesidades aprobadas en la comisión de personal, desarrollo y ejecución y Supervisión  de los servicios y características contratadas carpeta con los contratos hechos de  las solicitudes hechas por las Direcciones para entrenamiento.
Listados de asistencia, certificados expedidos por las Instituciones , correos electrónicos de seguimiento a cada funcionario. 
La ejecución del Proyecto presenta un avance del 81%.
</t>
  </si>
  <si>
    <t xml:space="preserve">17.2 El dia 30 de noviembre fecha de cierre se entrega informe a la Oficina de Planeación  con las evidencias de finalizacion del proyecto, sin embargo,  el modulo se entrego  para produccion a la Oficina de Sistemas por parte de la OLCC,  el cual queda sujeto a los ajustes que deben realizar al servidor cuya responsabilidad es de  la oficina de Tecnologias de la Informacion.  La informacion se encuentra cargada en la plataforma y una vez se realicen los ajustes por parte de la Oficina de Tecnologias a traves del proveedor, se podrá entrar en producción.  En este sentido por parte de la OLCC se da por concluido el proyecto en el alcance establecido.
17.3 Se evidencia en la tutoria realiza en el dia de hoy las siguientes evidencias permiten visualizar el avance del proyecto, que a continuación se presentan como actividades y productos que soportan:
1. Informe del montaje y resultados de los ensayos definitivos (conforme a diseño de experimentos) con los dispositivos médicos donde se indiquen las variables a considerar. Corresponde al INFORME 12.
2.  Informe de Resultados y recomendaciones de los ensayos realizados: Corresponde al análisis de los datos (resultados del tipo de suturas y catéteres evaluados) , variables a considerar y las recomendaciones finales de la realización de los ensayos.  Correspondería al INFORME 13.
3. Documentos en medio físico y magnético (guías, folletos, manual, presentaciones) con la información del proyecto:     CUMPLIDO:Se evidencia Certificado de garantía, manuales- guias rápidas del procedimiento, presentaciones, tablas de especificaciones y formatos, actas virtuales y de reuniones presenciales.
4.  Metodología de análisis preliminar estandarizada con criterios técnicos y científicos, armonizados con la normatividad de referencia internacional, para el control de calidad de catéteres y suturas: guías rápidas del procedimiento, tablas de especificaciones, metodología para elaboración del método en el software de la máquina universal de ensayos incluyendo su reporte y formatos. Corresponde al INFORME 14.​
5.  Informe final donde se presenten recomendaciones y, propuestas de mejora en pro de fortalecer el proceso de investigación del control de calidad de dispositivos médicos. Corresponde al INFORME 15.
Se cuenta con Actas de reuniones virtuales No. 4, 5, 6, 7 y 8. Actas presenciales de la 1 a la 7. Lo anterior reposa de manera digital en el Laboratorio Físico-Mecánico de Dispositivos Médicos y Otras Tecnologías.
Adicionalmente la universidad de Antioquia hizo entrega de los siguientes equipos que permiten la realización de ensayos en dispositivos médicos (Catetéres Intravenosos periféricos y suturas) en el laboratorio del Invima.
Se evidencia la evaluación de muestras de catéteres intravenosos perifericos de los siguientes calibres • Calibre 14 G• Calibre 16 G• Calibre 18 G• Calibre 20 G• Calibre 24 G y  Calibre 22 G y en referencia a suturas: • Absorbible Catgut Cromado USP 2-0 70 cm• Absorbible Catgut Cromado USP 5-0 70 cm• No Absorbibles Seda Ethicon USP 0 75 cm• No Absorbibles Seda Ethicon USP 3-0 75 cm• No Absorbibles Prolipropileno Prolene Ethicon USP 2-0 75 cm• No Absorbibles Polipropileno Prolene Ethicon USP 5-0 75 cm• No Absorbibles Mononylon Ethilon USP 2-0 45 cm• No Absorbibles Mononylon Ethilon USP 5-0 45 cm.
</t>
  </si>
  <si>
    <r>
      <rPr>
        <b/>
        <sz val="8"/>
        <rFont val="Arial"/>
        <family val="2"/>
      </rPr>
      <t>18.1</t>
    </r>
    <r>
      <rPr>
        <sz val="8"/>
        <rFont val="Arial"/>
        <family val="2"/>
      </rPr>
      <t xml:space="preserve"> Para el cuarto trimestre, el Grupo Unidad de Reacción Inmediata ha realizado las siguientes actividades, para la suscripción de los convenios programados: 
1. Convenio Marco entre la Oficina de las Naciones Unidas Contra la Droga y el Delicto -UNODOC Colombia y el Invima. Se realizó una nueva reunión con UNODC con el fin de establecer nuevamente las actividades del convenio, así como el tiempo del mismo. A la fecha se esta a la espera de revisión del Director General para asignación de recursos para la vigencia 2017.
2. Convenio interadministrativo de asociación entre la Policia Nacional – Dirección de Protección y Servicios Especiales – Coordinación Policía Fiscal y Aduanera y el Invima. cuyo objeto es : Fortalecer los lazos de cooperación entre las Instituciones INVIMA – POLICIA NACIONAL, que permitan coadyuvar a la prevención y detección de actividades y operaciones asociadas al “comercio ilícito” especialmente de ilegalidad, fraude y contrabando en productos competencia del INVIMA. Se encuentra envió nuevamente a la POLFA para revisión y firma. 
3. Convenio de Asociación entre el Invima y la Cámara Colombiana de Comercio Electrónico-CCCE, cuyo objeto es: Aunar esfuerzos, recursos y capacidades técnicas para contrarrestar y mitigar las ventas ilegales y el contrabando de productos competencia del INVIMA que puedan ser ofrecidos y comercializados a través de plataformas de comercio electrónico.  Fue firmado el 21 de abril de 2016 y el mismo día se realizó su lanzamiento.Este Convenio se encuentra en ejecución. 
2 Impacto : Participación permanente en este comité permite crear sinergias con otras instituciones para combatir el contrabando de carnes
</t>
    </r>
    <r>
      <rPr>
        <b/>
        <sz val="8"/>
        <rFont val="Arial"/>
        <family val="2"/>
      </rPr>
      <t>18.2</t>
    </r>
    <r>
      <rPr>
        <sz val="8"/>
        <rFont val="Arial"/>
        <family val="2"/>
      </rPr>
      <t xml:space="preserve"> Durante el año 2016, el Grupo Unidad de Reacción Inmediata participó en 25 reuniones de lucha contra la ilegalidad, contrabando y corrupción.
1. Comité Técnico con FEDEGAN
2. I Congreso Regional de Lucha contra el contrabando, lavado de activos y evasión fiscal.
3. Reunión Grupo de trabajo de la iniciativa “Hacia la integridad. Una Construcción entre los Sectores Público y Privado en Colombia”
4. Reunión con OPS
5. Reunión con el Ministerio de Salud- Dirección de Medicamentos y Otras Tecnologías.
6. Reunión con la POLFA
7. Reunión Comisión Interinstitucional de Lucha contra el Contrabando
8. Reunión de Coordinación e Implementación del Decreto 1500 de 2007
9. Reunión con la Interpol
10. Reunión con la Embajada de Estados Unidos
11. Reunión con el Ministerio de Justicia y del Derecho
12.Mesa de trabajo del proyecto Caracterización química de las variedades de marihuana producidas en Colombia y los preparados de cannabis
13. Reunión con la ANDI
14. Reunión con la Red EAMI,
15. IV Sesión de la Comisión Interinstitucional de Lucha contra el Contrabando.
16. Reunión con la Cámara de Comercio Colombo Americana
Ancham.
17. Reunión de la Secretaría de Salud de Bogotá 
18. Reunión con Locatel- Driguería Virtual
19. Federación Nacional de Departamentos
20. Ministerio de Salud y Protección Social
21.  Reunión con el Grupo de Respuesta a Emergencias Cibernéticas en Colombia- Colcert 
22. Reunión Andi
23. Oficina de las Naciones Unidas contra la Droga y el Delito
24.  Secretaría de Transparencia
25.  Federación Nacional de Departamentos
</t>
    </r>
  </si>
  <si>
    <t xml:space="preserve">2,1 - La versión final enviada por la Oficina de Asuntos Internacionales al Director General fue el 18-11-2016 luego de reunión adelantada el 15-11-2016 en la que se presentaron los 3 documentos. Posteriormente el DG realiza algunas observaciones para ajustar, las cuales fueron atendidas y enviadas por la OAI. Una vez el Director General dé el visto bueno se procederá a la publicación y socialización de los mismos.
- Para el viernes 13 de enero se llevará a cabo reunión con el DG en el que se pretende aboradar, si es posible, temas relacionados a las actividades que para la fecha de la tutoría no presentaron la ejecución esperada.
- Teniendo en cuenta que el proyecto no presenta la ejecución programada, la Oficina Asesora de Planeación sugiere realizar un nuevo control de cambios, bajo los lineamientos del procedimiento, en el que se reajusten las fechas de las actividades que estan pendientes por concluir.
2.2 - Los enlaces de cooperación, en reunión adelantada el 09-12-2016, presentaron las necesidades de cooperación para 2017.
- Se reporta comunicación con países 11 países y formalización de planes de trabajo correspondientes.
- Particularidades por paises: 1) *Argentina= ANMAT: Plan de trabajo para implementeción del memorando de entendiemiento el cual se extiende para 2017. SENASA: Se finalizó el proyecto de cooperación que se tenia en el marco de la comisión mixta. *Brasil= Se tenia proyecto de cooperación en comisión mixta, el cual se evaluó y se finalizó con un cumplimineto del 92% de las actividades. Asi mismo se da inicio a la negociación de un nuevo instrumento (memorando de entendiento) con ANVISA. *Chile= Plan de trabajo específico para implementación de memorando de entendimiento. *Cuba= Plan de trabajo para los temas pendientes (que en parte no pudieron ejecutarse en la vigencia por las limitaciones presentadas en cuanto a los tramites de comisiones al exterior). *Ecuador= Plan de trabajo para la implementación de memorando de entendimiento (2016-2017). *Estados Unidos= Se solicita apoyo de financiamiento para actividades de interés, quienes por su parte informan que están esperando la asignación de mas recursos para el programa de cooperación bilateral. Asimismo se solicita la realización de taller en un tema específico (clasificación de riesgos de la resolución 719 y relacionados), para lo cual se asignaron expertos FDA en la clasificación de riesgos de alimentos. DIcho taller, por temas logísticos, se realizará en la semana del 16 - 20 de enero de 2017. *España= Se concerta el plan de trabajo, durante el segundo semestre de la vigencia se realiza la visita de dos expertos en evaluación, quienes apoyan taller de calidad y seguridad en productos biológicos. *Mexico= Finaliza el proyecto de cooperación que se tenia para la vigencia. De igual manera se da inicio a la negociación del memorando de entendimiento bilateral. *Paraguay= Cierre del proyecto y se da inicio a negociación de un nuevo acuerdo. *Perú= Funcionario de la Dirección de Dispositivos Médicos realiza comisión con el fin de prestar asistencia técnica en temas de tecnovigilancia. *Salvador= Se adelantaron diversas actividades durante la vigencia, pero por temas presupuestales de ambos paises y de autorizaciones de comisiones, se acordó la ejecución de actividades pendientes en 2017.
2.3 - Una vez se llevó a cabo la firma del convenio marco, la Oficina de Asuntos Internacionales realizó divulgación al interior del Instituto a los directores, secreratio general, asesores, jefes de oficina y enlaces de cooperación mediante correoelectrónico en el que además se indican las lineas de trabajo definidas en éste. 
- Actualmente la Oficina de Asuntos Internacionales trabaja en la elaboración en conjunto con OPS de plan de trabajo a ejecutar (temas-convenios específicos-recursos).
</t>
  </si>
  <si>
    <t xml:space="preserve">11,1 Dentro de los datos arrojados una vez aplicada la prueba piloto se identifica que: 1) 9 laboratorios en Colombia han obtenido certificación, 2) Mexico se demora en promedio 126 días en emitir una respuesta, 3) Colombia ha emitido 8 actas sin visita, adicional 8 con visita, entre otros.
- En cuanto a la actividad de foros técnicos, mesas de trabajo, grupos de negociación y demas relacionados durante el trimestre se realizó: China-Comité MSF * UE-Comité MSF * CAN-Grupo de Expertos Gubernamentales para la Armonización de Legislaciones Sanitarias * Alianza Pacifico-Negociación * Alianza Pacifico-Negociación * Subcmité MSF UE-Tercera reunión del subcomite MSF del Acuerdo Comercial Col - UE - Pe.
- El informe final de mercados priorizados de alimentosse presentan el histórico de los 50 mercados abiertos y se especifica que en 2016 se abrieron 13 siendo este el año con mayor apertura de mercados. Asimismo se presentan propuestas de estrategias generales para 2017 (carne porcina, lácteos, carne bovina, caprina)
- Se realiza prueba piloto con agencia Cofepris, en donde se presenta numero de solicitudes recibidas a 31-12-2016, el resultado de cuantas, de parte y parte, se han estudiado, emitido y eliminado con los tiempos de respuesta. Asimismo en el informe se presentan casos difíciles, ventana de oportunidades (plan de trabajo de bioequivalencia en el marco de alianza pacífico, nuevos mercados Brasil-Argentina-Chile-Cuba. 9 laboratorios colombianos han aprovechado el acuerdo.
- Dentro del informe se destaca: Japon 2 plantas para exportar pollo, Libano 7 establecimientos para exportar carne bovina, Libia es posible exportar de comun acuerdo bajo un certificado, Chile 4 plantas aprobadas para exportación, Egipto 5 establecimientos nuevos habilitados, Emiratos Arabes se abrio el mercado 2 plantas en proceso de obtener el acceso, aprovechamiento de mercados 126 establecimientos. De igual manera se presenta un DOFA interno.
11,2  - Vale la pena indicar que la Dirección de Alimentos mediante el Gerente del programa en el mes de diciembre radicó control de cambios en el que se redifinieron fechas de actividades a realizar a lo largo de 2017. Se tiene la intención de realizar citación a las plantas de beneficio para el 11-01-2017 con el fin de presentar situación del proyecto y demás.
- Ya se ha adelantado trabajo con estados unidos en cuanto al diseño y formulación de instructivos, documentos, lineamientos, manuales, procedimientos y demas relacionados que harán parte del sistema.
- Esta prevista reunión con Fonade que tiene como fin la definición de apertura de contrataciones, entre otras.
</t>
  </si>
  <si>
    <t>IV Trimestre
Cierre de Brechas</t>
  </si>
  <si>
    <t>Mejorar la capacidad de diagnóstico de los laboratorios de salud pública a nivel nacional y territorial</t>
  </si>
  <si>
    <t>OBJETIVO PND</t>
  </si>
  <si>
    <t>OBJETIVO DE LA ESTRATEGIA SECTORIAL PND</t>
  </si>
  <si>
    <t>OBJETIVO ESPECIFICO SECTORIAL</t>
  </si>
  <si>
    <t>ESTRATEGIA DEL OBJETIVO ESPECIFICO SECTORIAL</t>
  </si>
  <si>
    <t>Movilidad Social</t>
  </si>
  <si>
    <t xml:space="preserve"> Mejorar las condiciones de salud de la población colombiana y propiciar el goce efectivo del derecho a la salud, en condiciones de calidad, eficiencia, equidad y sostenibilidad</t>
  </si>
  <si>
    <t>Aumentar el acceso efectivo a los servicios y mejorar la calidad en la atención</t>
  </si>
  <si>
    <t>Recuperar la confianza y la legitimidad en el sistema</t>
  </si>
  <si>
    <t>Acercar la Inspección Vigilancia y Control al Ciudadano</t>
  </si>
  <si>
    <t>Afianzar la lucha contra la corrupción, transparencia y rendición de cuentas</t>
  </si>
  <si>
    <t>Acercar la Inspección Vigilancia y Control al Ciudadano-Consolidar la Regulación del Mercado Farmaceutico</t>
  </si>
  <si>
    <t>Buen gobierno</t>
  </si>
  <si>
    <t>Promover la Eficiencia y la Eficacia Administrativa</t>
  </si>
  <si>
    <t>Gestión pública efectiva y estandares minismo de prestación de servcio al ciuadadano</t>
  </si>
  <si>
    <t xml:space="preserve">Promover la transparencia, participación ciudadna y rendición de cuentas </t>
  </si>
  <si>
    <t>implementar la Politica Pública Integral Anticorrupción (PPIA)</t>
  </si>
  <si>
    <t>Modernización archivos públicos</t>
  </si>
  <si>
    <t>Infraestructura física para la gestión pública</t>
  </si>
  <si>
    <t>Seguimiento y evaluación de las políticas públicas</t>
  </si>
  <si>
    <t>Presupuesto de inversión informado por desempeño y resultados</t>
  </si>
  <si>
    <t>Estandarizar y hacer más eficiente la contratación estatal</t>
  </si>
  <si>
    <t>Optimizar la gestión de la información</t>
  </si>
  <si>
    <t>Consolidar el Sistema Integral de Información de la Protección Social (Sispro)</t>
  </si>
  <si>
    <t>Información estadística (Sispro)</t>
  </si>
  <si>
    <t>Empleo público fortalecido</t>
  </si>
  <si>
    <t>Pilar PND 2015-2018: Equidad</t>
  </si>
  <si>
    <t>Porcentaje de Avance Acumulado de los Programas Año 2017</t>
  </si>
  <si>
    <t>Porcentaje de Avance Acumulado por Proyecto Año 2017</t>
  </si>
  <si>
    <t>1.6 Vinculación al sistema Colciencias</t>
  </si>
  <si>
    <t>1.15 Educación Sanitaria virtual del Programa Nacional de Tecnovigilancia (Fase III)</t>
  </si>
  <si>
    <t>Fortalecer el proceso de capacitación y asistencia técnica a través de la Plataforma Aula Virtual Invima  aplicando la metodología de enseñanza/aprendizaje e-learning y b-learning.</t>
  </si>
  <si>
    <t>Dirección de Dispositivos Médicos y Otras Tecnologías</t>
  </si>
  <si>
    <t>Implementación de la  Metodología AMFE en  instituciones prestadoras de servicios de salud de los departamentos de Cundinamarca, Norte de Santander, Nariño, Cauca, Bogotá, Magdalena, Antioquia y  Boyaca  y seguimiento a las instituciones que fueron objeto de Implementación en los años 2015 y 2016.</t>
  </si>
  <si>
    <t>1.16 Fortalecimiento de la Gestión de Riesgo Clínico (capacitación y  asistencia técnica en Metodología  AMFE) en el Programa de Reactivovigilancia, etapa III. 2017</t>
  </si>
  <si>
    <t>1.17 Prevencion, Pedagogia  y Responsabilidad Sanitaria para todos</t>
  </si>
  <si>
    <t>Posicionar al Invima en materia de responsabilidad sanitaria como un organismo enfocado en la prevención y pedagogía,  educando al ciudadano que desempeña un rol en la cadena de fabricación y/o comercialización de productos compentencia del Instituto disminuyendo la  ocurrencia de conductas infractoras de la normatividad sanitaria vigente, logrando una salvaguarda mas efectiva de la salud pública.</t>
  </si>
  <si>
    <t>Dirección de Responsabilidad Sanitaria</t>
  </si>
  <si>
    <t>1.18 INVIMA frente a las Acciones Judiciales</t>
  </si>
  <si>
    <t xml:space="preserve">Fortalecer el conocimiento en temas sanitarios a funcionarios y empleados al servicio de la administración de la justicia colombiana </t>
  </si>
  <si>
    <t>1.19 Posicionamiento institucional como la entidad que promueve y protege la salud de los colombianos</t>
  </si>
  <si>
    <t>Lograr que la entidad sea reconocida como protectora de la salud de las personas y generar en los funcionarios sentido de pertenencia siendo multiplicadores del quehacer de la entidad como autoridad sanitaria.</t>
  </si>
  <si>
    <r>
      <rPr>
        <b/>
        <sz val="8"/>
        <rFont val="Arial"/>
        <family val="2"/>
      </rPr>
      <t>1.6</t>
    </r>
    <r>
      <rPr>
        <sz val="8"/>
        <rFont val="Arial"/>
        <family val="2"/>
      </rPr>
      <t xml:space="preserve"> Se presentaron al Director Generqal las acciones alcanzadas en el proyecto, las cuales incluyeron:
1. Inscripción del grupo de investigación Invima ante Colciencias. En el momento se cuenta con con más de 10 profesionales del Insituto inscritos como investigadores.
2. Se discutieron los resultados del primer encuentro Técnico Científico del Invima en donde se presentaron los resultados de los proyectos de investigacion adelantados por funcionarios de diferentes áreas del Invima.
3. Se informó acerca de la inscripción de proyectos de investigación al grupo creado por el Invima.
4. Se dejaron listos los resultados de dos proyectos de invstigación para ser enviados a publicación en boletines o revistas de circulación internacional.
</t>
    </r>
    <r>
      <rPr>
        <b/>
        <sz val="8"/>
        <rFont val="Arial"/>
        <family val="2"/>
      </rPr>
      <t>1.8</t>
    </r>
    <r>
      <rPr>
        <sz val="8"/>
        <rFont val="Arial"/>
        <family val="2"/>
      </rPr>
      <t xml:space="preserve"> En el año 2016 el Grupo de Comunicaciones adelantó la divulgación de la campaña de educación sanitaria “A lo Sánchez” una serie web de ocho capítulos donde enseña a los consumidores mediante ejemplos graciosos los riesgos que podrían ocurrir si no toman las precauciones necesarias con sus alimentos, medicamentos, cosméticos, dispositivos médicos, entre otros productos relacionados con las competencias del Invima. 
Reproducción total de la campaña en Facebook, Youtube: 2.180.467 
Campaña publimetro: total impresiones 2.353.164 , total click: 39.534, Alcance total: Personas alcanzadas :10.255.292; Interaciones: 74.021 ; Seguidores: 21.691  
</t>
    </r>
    <r>
      <rPr>
        <b/>
        <sz val="8"/>
        <rFont val="Arial"/>
        <family val="2"/>
      </rPr>
      <t>1.9</t>
    </r>
    <r>
      <rPr>
        <sz val="8"/>
        <rFont val="Arial"/>
        <family val="2"/>
      </rPr>
      <t xml:space="preserve"> Con respecto a las impresiones de los tweets publicados fueron de 1.857.000 (Ver definición abajo) y se consiguieron 2730 nuevos seguidores durante este periodo. 
A continuación encontrará las definiciones de Impresiones e Interacciones:
- Impresiones: cuando se habla de este ítem, significa el número de veces que los usuarios vieron el Tweet en Twitter.
- Interacciones: Número total de veces que un usuario ha interactuado con un Tweet. Esto incluye todos los clics en cualquier parte del Tweet (incluso etiquetas, vínculos, avatar, nombre de usuarios y la expansión del tweet), retweets, respuestas, seguimientos y me gusta.
En las redes sociales se publicó información de capacitaciones realizadas con las diferentes entidades territoriales de salud del país, asi mismo compartimos el enlace de la estrategia de IEC desarrollada con la dirección de alimentos. : https://www.invima.gov.co/direcci%C3%B3n-de-alimentos-y-bebidas#articulación-con-entidades-territoriales-de-salud
</t>
    </r>
    <r>
      <rPr>
        <b/>
        <sz val="8"/>
        <rFont val="Arial"/>
        <family val="2"/>
      </rPr>
      <t>1.10</t>
    </r>
    <r>
      <rPr>
        <sz val="8"/>
        <rFont val="Arial"/>
        <family val="2"/>
      </rPr>
      <t xml:space="preserve"> En el 2016 la Entidad emitió 42 comunicados de prensa con un total de 169 replicas en los diferentes medios de comunicación en los diferentes temas competencia del Invima.
Para el caso de las alertas sanitarias un total de 33 alertas con 43 replicas en los diferentes medios de comunicación.
</t>
    </r>
    <r>
      <rPr>
        <b/>
        <sz val="8"/>
        <rFont val="Arial"/>
        <family val="2"/>
      </rPr>
      <t>1.11</t>
    </r>
    <r>
      <rPr>
        <sz val="8"/>
        <rFont val="Arial"/>
        <family val="2"/>
      </rPr>
      <t xml:space="preserve"> En el 2016 el grupo de comunicaciones elaboró 136 piezas de comunicación que fueron socializadas a través de systemplus con el objetivo de dar a conocer información relevante del Invima como autoridad sanitaria en los diferentes temas: valores institucionales, código de ética y buen gobierno, entrada en vigencia del Dectreto 1500 de 2007, políticas de calidad, datos abiertos, incentivos en las etiquetas, etc.
</t>
    </r>
    <r>
      <rPr>
        <b/>
        <sz val="8"/>
        <rFont val="Arial"/>
        <family val="2"/>
      </rPr>
      <t>1.15</t>
    </r>
    <r>
      <rPr>
        <sz val="8"/>
        <rFont val="Arial"/>
        <family val="2"/>
      </rPr>
      <t xml:space="preserve"> Durante el desarrollo de la tutoria se evidencia un avance del 14% , lo anterior teniendo en cuenta el cumplimiento oportuno de las actividades que se tienen definidas en el cronograma, producto de estas actividades en las cuales se contemplo la aplicación de una encuesta de diagnostico con 33 preguntas agrupadas en tres (3) dominios:
1. Caracterización sociodemográfica.
2. Experiencia en el uso de cursos y herramientas virtuales.
3. Percepción sobre el interés de desarrollar los módulos de aprendizaje propuestos
</t>
    </r>
    <r>
      <rPr>
        <b/>
        <sz val="8"/>
        <rFont val="Arial"/>
        <family val="2"/>
      </rPr>
      <t>1.16</t>
    </r>
    <r>
      <rPr>
        <sz val="8"/>
        <rFont val="Arial"/>
        <family val="2"/>
      </rPr>
      <t xml:space="preserve"> Se evidencia un avance del 10% , lo anterior teniendo en cuenta el cumplimiento oportuno de las actividades que se tienen definidas en el cronograma, producto de estas actividades en las cuales se contemplo la elaboración de un plan de trabajo, material de apoyo, selección e invitaciones a participantes que soporten el desarrollo de las jornadas de asistencia tecnica que se realizaran apartir del 2do trimestre del año.
De acuerdo con lo anterior la población objetivo para participar en las asistencias tecnicas presenciales y virtuales, quedando seleccionados los siguientes departamentos: Cundinamarca ,Quindío, Norte de Santander, Valle del Cauca, Cauca , Antioquia, Atlántico, Magdalena, Nariño, Santader, Boyaca y Bogota, con lo cual se define un cronograma de trabajo que inicia en el mes de Abril y va hasta el mes de Octubre en el cual se establecen las actividades especificas que se tiene que realizar por parte de los participantes.
</t>
    </r>
    <r>
      <rPr>
        <b/>
        <sz val="8"/>
        <rFont val="Arial"/>
        <family val="2"/>
      </rPr>
      <t>1.17</t>
    </r>
    <r>
      <rPr>
        <sz val="8"/>
        <rFont val="Arial"/>
        <family val="2"/>
      </rPr>
      <t xml:space="preserve"> Durante el primer trimestre se consolidó la programación de los eventos del invima a nivel nacional correspondiente a la registraton, Dirección de operaciones y la Dirección de alimentos, definiendo así participar en 13 eventos a nivel nacional, de los cuales a la fecha se han realizado 2 en Tunja y Popayán.
Durante el mes de abril se realizó mesa de trabajo con la Dirección de operaciones con el objetivo de alinear conceptos y realizar un evento en el mes de junio del 2017.
</t>
    </r>
    <r>
      <rPr>
        <b/>
        <sz val="8"/>
        <rFont val="Arial"/>
        <family val="2"/>
      </rPr>
      <t>1.18</t>
    </r>
    <r>
      <rPr>
        <sz val="8"/>
        <rFont val="Arial"/>
        <family val="2"/>
      </rPr>
      <t xml:space="preserve"> Se evidencio las reuniones realizadas con la Escuela Judicial Rodrigo Lara Bonilla, eje tematico con unidades tematicas definidas las cuales obedecen a: Responsabilidad Sanitaria y Generalidades del Invima, Regimen Aplicable en Colombia para Medicamentos y sus Excepciones, Directrices para la aplicación de la normatividad sanitaria de alimentos y plantas de beneficio, asi como acta de reunión en la cual se acordó la remisión de material de consulta para ser publicado por la Escuela Judicial en la herramienta definida. 
</t>
    </r>
    <r>
      <rPr>
        <b/>
        <sz val="8"/>
        <rFont val="Arial"/>
        <family val="2"/>
      </rPr>
      <t>1.19</t>
    </r>
    <r>
      <rPr>
        <sz val="8"/>
        <rFont val="Arial"/>
        <family val="2"/>
      </rPr>
      <t xml:space="preserve"> La oficina de comunicaciones realiza una reunión el 31 de enero de 2017 con el fin de presentar el plan de comunicaciones en donde fueron incluidas las diferentes estrategias a desarrollar en la presente vigencias al Director General y el cual fue aprobado  de las actividades propuestas dentro del mismo tales. Las actividades que fueron incluidas dentro del Plan de comunicaciones se encuentran en ejecución y son controladas mediante un cronograma de las actividades propuestas. Dentro de las entidades contactadas de las cuales fueron seleccionadas ( Compensar y Colsubsidio)  con las cuales se suscribio convenios de cooperanción y ayudas que permita  generar un intercambio de mensajes que permita  ampliar los canales de comunicación del Instituto. Se programaron 4 visitas de estudiantes a los laboratorios de las cuales se ha realizado una (1) visita con la participacion de 5 estudiantes de la universidad militar.</t>
    </r>
  </si>
  <si>
    <t>2.4. Diseño y evaluación de indicadores de eficacia e impacto de la cooperación técnica y científica aplicada en el Invima</t>
  </si>
  <si>
    <t>2.5. Fortalecimiento de capacidades Técnicas Cientificas y Regulatorias a través de la ejecución del Convenio Marco de Cooperación Técnica entre el Invima y la OPS</t>
  </si>
  <si>
    <t>Implementar un mecanismo que permita medir y cuantificar la cooperacion ofrecida y recibida asi como indicadores de eficacia e impacto para las acciones de gestión y oferta de cooperacion en el fortalecimiento de capacidades técnicas y cientificas derivadas de la implementación de acciones de cooperación.</t>
  </si>
  <si>
    <t>Ejecutar acciones de fortalecimiento de capacidaddes y relacionamiento Internacional a través del convenio con la OPS para apoyar las estrategias regionales de regulación de medicamentos y tecnologías sanitarias y aportar al posicionamiento de Invima como Autoridad Sanitaria de Referencia Regional.</t>
  </si>
  <si>
    <t>3.3 Análisis del estado actual de la vigilancia posmercado de los dispositivos médicos en Colombia</t>
  </si>
  <si>
    <t>Realizar el análisis del estado actual de la vigilancia posmercado de los dispositivos médicos en Colombia.</t>
  </si>
  <si>
    <r>
      <rPr>
        <b/>
        <sz val="8"/>
        <rFont val="Arial"/>
        <family val="2"/>
      </rPr>
      <t xml:space="preserve">3.2 </t>
    </r>
    <r>
      <rPr>
        <sz val="8"/>
        <rFont val="Arial"/>
        <family val="2"/>
      </rPr>
      <t xml:space="preserve">Se evidencia que el avance de ejecución se mantiene en un 63%, dado a que las actividades para continuar con el desarrollo del proyecto estan previstas para dar inicio luego del mes de Mayo, para lo cual se espera ejecución  y avance en su desarrollo,  con este proyecto se busca  la integración de los Reportes Periódicos al Sistema de notificación ONLINE, para optimizar la gestión del Grupo de Tecnovigilancia y de las Secretarias de Salud,  la consulta ONLINE de las Alertas, Recall e Informes de seguridad y  la implementación de la Red Nacional de Implantes para la trazabilidad de los Dispositivos Médicos Implantables por medio de la implementación de módulos informáticos de notificación ONLINE de eventos e incidentes adversos trimestrales, Recall, Informes de Seguridad, Alertas y Hurtos - RISARH y la trazabilidad de los dispositivos médicos. 
</t>
    </r>
    <r>
      <rPr>
        <b/>
        <sz val="8"/>
        <rFont val="Arial"/>
        <family val="2"/>
      </rPr>
      <t>3.3</t>
    </r>
    <r>
      <rPr>
        <sz val="8"/>
        <rFont val="Arial"/>
        <family val="2"/>
      </rPr>
      <t xml:space="preserve"> El avance de ejecución del 8%, corresponde a la ejecución de actividades de la fase de planeación y diagnostico que se requieren para poder continuar con el desarrollo de actividades encaminadas a la ejecución de la evaluación del estado actual del Programa Nacional de Tecnovigilancia, valorando su desempeño (estructura, capacidad y recursos) y el  impacto que ha generado en la salud pública para así poder  implementar mejoras para mantener y fidelizar a los actores del programa, fortaleciendo en el tiempo la vigilancia posmercado de dispositivos médicos en el país y las capacidades técnico-científicas de los profesionales de la Dirección. Además de actualizar los contenidos de los módulos de aprendizaje, lo que involucra la virtualización, gamificación y la certificación.</t>
    </r>
  </si>
  <si>
    <r>
      <rPr>
        <b/>
        <sz val="8"/>
        <rFont val="Arial"/>
        <family val="2"/>
      </rPr>
      <t>4.1</t>
    </r>
    <r>
      <rPr>
        <sz val="8"/>
        <rFont val="Arial"/>
        <family val="2"/>
      </rPr>
      <t xml:space="preserve"> el avance de ejecución se mantiene en un 33%, dado a que las actividades para continuar con el desarrollo del proyecto estan previstas para dar inicio luego del mes de Marzo, para lo cual se espera ejecución  y avance en su desarrollo,  con este proyecto se busca  la integración de los Reportes Periódicos al Sistema de notificación ONLINE, para optimizar la gestión del Grupo de Reactivovigilancia y de las Secretarias de Salud,  la consulta ONLINE de las Alertas, Recall e Informes de seguridad y  la implementación de la Red Nacional por medio de la implementación de módulos informáticos de notificación ONLINE de eventos e incidentes adversos trimestrales, Recall, Informes de Seguridad, Alertas y Hurtos - FRIARH y la trazabilidad de los Reactivos de Diagnostico Invitro</t>
    </r>
  </si>
  <si>
    <t>5.7 Verificación Oficial 2017</t>
  </si>
  <si>
    <t>5.8 Monitoreo 2017</t>
  </si>
  <si>
    <t>Verificar el cumplimiento de los requisitos establecidos en la normatividad vigente  frente a las  características microbiológicas y fisicoquimincas de (agua,  pesca de importanción y exportación y quesos)</t>
  </si>
  <si>
    <r>
      <rPr>
        <b/>
        <sz val="8"/>
        <rFont val="Arial"/>
        <family val="2"/>
      </rPr>
      <t>5.3</t>
    </r>
    <r>
      <rPr>
        <sz val="8"/>
        <rFont val="Arial"/>
        <family val="2"/>
      </rPr>
      <t xml:space="preserve"> Se ajustan el plan  como el número de muestras debido a que la dirección de operaciones no tomo las muestras inicialmente programadas, en tal sentido se da por cumplido el total de muestras a analizar en el laboratorio y las muestras para el desarrollo del informe final, para el caso de planes donde las muestras no son representativas por incumplimiento en la toma las mismas son replanteadas, cancelados y retomados según el caso en el año inmediatamente siguiente (2017). De acuerdo con la presentación de los resultados de los planes, la Dirección General priorizo los informes a realizar en los que esta: Cafeina en bebidas energizantes y mezclas en polvo para preparar bebidas energizantes que fue socializado al Director General, los restantes se proyectaran para 30 de julio del 2017   entre los que estan: Vibrio cholerae en pescado, moluscos y crustáceos, crudos y precocidos,  (ultracongelados y congelados) importados a Colombia, aguas envasadas, quesos frescos, productos de la pesca para exportación a la unión europea, leche en polvo y panela.
</t>
    </r>
    <r>
      <rPr>
        <b/>
        <sz val="8"/>
        <rFont val="Arial"/>
        <family val="2"/>
      </rPr>
      <t xml:space="preserve">5.4 </t>
    </r>
    <r>
      <rPr>
        <sz val="8"/>
        <rFont val="Arial"/>
        <family val="2"/>
      </rPr>
      <t xml:space="preserve">se evidencia el avance en la eleaboración del informe de Resultados del muestreo, a al fecha se encuentran terminando la consolidación de los reportes de resultados emitidos por el laboratiro de parasitología de la Universidad de Antioquia.  Queda pendiente una vez terminen el informe, relaizar reuniones para presentar los resultados obtenidos del plan de muestreo para la detección y tipificación de Trichinella spp. en canales de la especie porcina, en plantas de beneficio, así  mismo realizar la solicitud de evaluación del riesgo de Trichinella spp. asociado al consumo de carne de cerdo en el territorio nacional.
</t>
    </r>
    <r>
      <rPr>
        <b/>
        <sz val="8"/>
        <rFont val="Arial"/>
        <family val="2"/>
      </rPr>
      <t>5.6</t>
    </r>
    <r>
      <rPr>
        <sz val="8"/>
        <rFont val="Arial"/>
        <family val="2"/>
      </rPr>
      <t xml:space="preserve"> Se ajustan en algunos planes tales como el número de muestras debido a que la dirección de operaciones no tomo las muestras inicialmente programadas, en tal sentido se da por cumplido el total de muestras a analizar en el laboratorio y las muestras para el desarrollo del informe final, para el caso de planes donde las muestras no son representativas por incumplimiento en la toma las mismas son replanteadas, cancelados y retomados según el caso en el año inmediatamente siguiente (2017).
</t>
    </r>
    <r>
      <rPr>
        <b/>
        <sz val="8"/>
        <rFont val="Arial"/>
        <family val="2"/>
      </rPr>
      <t xml:space="preserve">El proyecto 5.7 se divide en los siguientes:
5.7.1 </t>
    </r>
    <r>
      <rPr>
        <sz val="8"/>
        <rFont val="Arial"/>
        <family val="2"/>
      </rPr>
      <t>se evidencia el desarrollo de las siguientes actividades: 
*Elaboración de cronograma de trabajo, el cua se puede evidenciar mediante el formato de documentación y cronograma del ppyecto, el cual fue ajustado de acuerdo a linemaientos dados por la Dirección General.
* Elaboración de documentos Tecnico (Plan de muestreo), esta actividad se soporta mediante el docuemento tecnico del plan de muestreo, entre otras actividades para dar cumplimiento a esta primera parte</t>
    </r>
    <r>
      <rPr>
        <b/>
        <sz val="8"/>
        <rFont val="Arial"/>
        <family val="2"/>
      </rPr>
      <t xml:space="preserve">
5.7.2 </t>
    </r>
    <r>
      <rPr>
        <sz val="8"/>
        <rFont val="Arial"/>
        <family val="2"/>
      </rPr>
      <t>se evidencia el desarrollo de las siguientes actividades: 
*Elaboración de cronograma de trabajo, el cua se puede evidenciar mediante el formato de documentación y cronograma del ppyecto, el cual fue ajustado de acuerdo a linemaientos dados por la Dirección General.
* Elaboración de documentos Tecnico (Plan de muestreo), esta actividad se soporta mediante el docuemento tecnico del plan de muestreo, entre otras actividades para dar cumplimiento a esta primera parte</t>
    </r>
    <r>
      <rPr>
        <b/>
        <sz val="8"/>
        <rFont val="Arial"/>
        <family val="2"/>
      </rPr>
      <t xml:space="preserve">
5.7.3 </t>
    </r>
    <r>
      <rPr>
        <sz val="8"/>
        <rFont val="Arial"/>
        <family val="2"/>
      </rPr>
      <t>se evidencia el desarrollo de las siguientes actividades: 
*Elaboración de cronograma de trabajo, el cua se puede evidenciar mediante el formato de documentación y cronograma del ppyecto, el cual fue ajustado de acuerdo a linemaientos dados por la Dirección General.
* Elaboración de documentos Tecnico (Plan de muestreo), esta actividad se soporta mediante el docuemento tecnico del plan de muestreo, entre otras actividades para dar cumplimiento a esta primera parte</t>
    </r>
    <r>
      <rPr>
        <b/>
        <sz val="8"/>
        <rFont val="Arial"/>
        <family val="2"/>
      </rPr>
      <t xml:space="preserve">
5.7.4 </t>
    </r>
    <r>
      <rPr>
        <sz val="8"/>
        <rFont val="Arial"/>
        <family val="2"/>
      </rPr>
      <t>se evidencia el desarrollo de las siguientes actividades: 
*Elaboración de cronograma de trabajo, el cua se puede evidenciar mediante el formato de documentación y cronograma del ppyecto, el cual fue ajustado de acuerdo a linemaientos dados por la Dirección General.
* Elaboración de documentos Tecnico (Plan de muestreo), esta actividad se soporta mediante el docuemento tecnico del plan de muestreo, entre otras actividades para dar cumplimiento a esta primera parte</t>
    </r>
    <r>
      <rPr>
        <b/>
        <sz val="8"/>
        <rFont val="Arial"/>
        <family val="2"/>
      </rPr>
      <t xml:space="preserve">
El proyecto 5.8 se divide en los siguientes:
5.8.1 </t>
    </r>
    <r>
      <rPr>
        <sz val="8"/>
        <rFont val="Arial"/>
        <family val="2"/>
      </rPr>
      <t>Durante el desarrollo de la tutoria se evidencia el desarrollo de las siguientes actividades: 
*Elaboración de cronograma de trabajo, el cua se puede evidenciar mediante el formato de documentación y cronograma del ppyecto, el cual fue ajustado de acuerdo a linemaientos dados por la Dirección General.
* Elaboración de documentos Tecnico (Plan de muestreo), esta actividad se soporta mediante el docuemento tecnico del plan de muestreo.</t>
    </r>
    <r>
      <rPr>
        <b/>
        <sz val="8"/>
        <rFont val="Arial"/>
        <family val="2"/>
      </rPr>
      <t xml:space="preserve">
5.8.2 </t>
    </r>
    <r>
      <rPr>
        <sz val="8"/>
        <rFont val="Arial"/>
        <family val="2"/>
      </rPr>
      <t xml:space="preserve"> se evidencia el desarrollo de las siguientes actividades: 
*Elaboración de cronograma de trabajo, el cua se puede evidenciar mediante el formato de documentación y cronograma del ppyecto, el cual fue ajustado de acuerdo a linemaientos dados por la Dirección General.
* Elaboración de documentos Tecnico (Plan de muestreo), esta actividad se soporta mediante el documento tecnico del plan de muestreo, entre otras dando cumplimiento así a sus actividades
</t>
    </r>
    <r>
      <rPr>
        <b/>
        <sz val="8"/>
        <rFont val="Arial"/>
        <family val="2"/>
      </rPr>
      <t>5.8.3</t>
    </r>
    <r>
      <rPr>
        <sz val="8"/>
        <rFont val="Arial"/>
        <family val="2"/>
      </rPr>
      <t xml:space="preserve"> Durante la tutoría se tiene un avance en la ejecución del 10%,  en la cual se realizan ajustes a la documentación del proyecto de acuerdo a lineamientos dados por la Dirección General, se evidencia el desarrollo de las siguientes actividades: 
*Elaboración de cronograma de trabajo, el cua se puede evidenciar mediante el formato de documentación y cronograma del proyecto, 
* Elaboración de documentos Tecnico (Plan de muestreo), esta actividad se soporta mediante el docuemento tecnico del plan de muestreo</t>
    </r>
  </si>
  <si>
    <t>7.14 Pesca</t>
  </si>
  <si>
    <t>7.15 Origen Vegetal</t>
  </si>
  <si>
    <t>7.16 Origen animal</t>
  </si>
  <si>
    <t>8.1 Fortalecimiento de la red nacional de farmacovigilancia para la monitorización de la seguridad de los medicamentos en los territorios.</t>
  </si>
  <si>
    <t xml:space="preserve">8.2 Fortalecimiento de los procesos de gestión del riesgo y evaluación de la seguridad de los medicamentos comercializados en Colombia. </t>
  </si>
  <si>
    <t>Fortalecer la Red de Farmacovigilancia para la monitorización de la seguridad de los medicamentos en los territorios.</t>
  </si>
  <si>
    <t xml:space="preserve">Fortalecer los procesos de gestión del riesgo y evaluación de la seguridad de los medicamentos comercializados en Colombia. </t>
  </si>
  <si>
    <t>9.7 Dispositivos Médicos y Otras Tecnologías 2017</t>
  </si>
  <si>
    <t>9.8 Dirección de Cosméticos, Aseo, Plaguicidas y Productos de Higiene Doméstica 2017</t>
  </si>
  <si>
    <t>9.9 Medicamentos y Productos Biológicos 2017</t>
  </si>
  <si>
    <t>11.3. Estrategia para el apoyo a la industria colombiana en el acceso sanitario y aprovechamiento de mercados internacionales en alimentos 2017</t>
  </si>
  <si>
    <t>11.4. Estrategia para el apoyo a la industria colombiana en la facilitación del comercio y aprovechamiento de mercados internacionales de interés para Medicamentos, Suplementos Dietarios, Dispositivos Médicos, Equipos Biomédicos y Cosméticos</t>
  </si>
  <si>
    <t>Realizar acciones que promuevan resultados en el acceso sanitario y aprovechamiento de mercados internacionales en alimentos a través de una gestión articulada entre el INVIMA, autoridades nacionales e internacionales competentes, gremios e industria.</t>
  </si>
  <si>
    <t xml:space="preserve">Lograr mecanismos ágiles y que faciliten la emisión de registros/ notificaciones sanitarias y certificaciones que permitan a los fabricantes nacionales un acceso real a  mercados internacionales de interés </t>
  </si>
  <si>
    <r>
      <rPr>
        <b/>
        <sz val="8"/>
        <rFont val="Arial"/>
        <family val="2"/>
      </rPr>
      <t xml:space="preserve">11.1 </t>
    </r>
    <r>
      <rPr>
        <sz val="8"/>
        <rFont val="Arial"/>
        <family val="2"/>
      </rPr>
      <t xml:space="preserve">Teniendo en cuenta que la actividad "Coordinar con el mapa regional de oportunidades para la implementación de la herramienta tecnológica." presentó ejecución de 60% al cierre de la vigencia y por las razones presentadas no será posible su ejecución, la Oficina Asesora de Planeación, a solicitud de la Oficina de Asuntos Internacionales, coordinara reunión con la Dirección General con el fin de dar cierre al proyecto.
</t>
    </r>
    <r>
      <rPr>
        <b/>
        <sz val="8"/>
        <rFont val="Arial"/>
        <family val="2"/>
      </rPr>
      <t>11.2</t>
    </r>
    <r>
      <rPr>
        <sz val="8"/>
        <rFont val="Arial"/>
        <family val="2"/>
      </rPr>
      <t xml:space="preserve"> Funcionarios de la DAB se han desplazado (Ene-Feb) a las 3 plantas de beneficio (RedCárnica-Frigosinu-Riofrio) a realizar socialización del estado del proyecto y ademas se abordaron diferentes temas relacionados. 
</t>
    </r>
    <r>
      <rPr>
        <b/>
        <sz val="8"/>
        <rFont val="Arial"/>
        <family val="2"/>
      </rPr>
      <t>11.3</t>
    </r>
    <r>
      <rPr>
        <sz val="8"/>
        <rFont val="Arial"/>
        <family val="2"/>
      </rPr>
      <t xml:space="preserve"> Se define meta de la apertura de 8 mercados y gestiones de admisibilidad de 13 mercados estratégicos. 
Perú porcino cierre documental de auditoria de aprobación plantas.
Identificación de mercados y mecanismo de monitoreo.
</t>
    </r>
    <r>
      <rPr>
        <b/>
        <sz val="8"/>
        <rFont val="Arial"/>
        <family val="2"/>
      </rPr>
      <t xml:space="preserve">11.4 </t>
    </r>
    <r>
      <rPr>
        <sz val="8"/>
        <rFont val="Arial"/>
        <family val="2"/>
      </rPr>
      <t>Se realiza relación de laboratorios fabricantes Vs productos registrados obteniendo así la oferta exportable.
Seguimiento con base en las exportaciones para medicamentos-dispositivos-cosméticos identificando el comportamiento frente a meta de exportaciones no minero energéticas, que aportan un 13,8%
Generación de mercados objetivo para exportar (Medicamentos-ARNr-Mexico/Chile/Argentina/Brasil/Cuba/Canadá/Estados Unidos)
(Dispositivos-Grupo regulación OPS-Argentina/Brasil/Canadá/Chile/CostaRIca/Cuba/Ecuador/ElSalvador/Honduras/Mexico/Panama/Paraguay/Perú/RepúblicaDominicana/Uruguay)
(Cosméticos-paises con acuerdos 0 arancel)</t>
    </r>
  </si>
  <si>
    <r>
      <rPr>
        <b/>
        <sz val="8"/>
        <rFont val="Arial"/>
        <family val="2"/>
      </rPr>
      <t>12.4</t>
    </r>
    <r>
      <rPr>
        <sz val="8"/>
        <rFont val="Arial"/>
        <family val="2"/>
      </rPr>
      <t xml:space="preserve"> El grupo Sistema Integrado de Gestión realizó actualización de algunos documentos enfocados en la norma ISO 9001:2015, adicionalmente se realizó material didáctico para dar a conocer los requisitos de la norma en los encuentros de facilitadores de calidad (Invima, calidad sin fronteras) contando con la participación de 50 personas aprox. De igual manera se realizaron sesiones de entrenamiento en la norma en laboratorios y en la Dirección de Operaciones Sanitarias;  ya se cuenta con la programación de las sesiones de entrenamiento en los demás grupos de trabajo.
</t>
    </r>
    <r>
      <rPr>
        <b/>
        <sz val="8"/>
        <rFont val="Arial"/>
        <family val="2"/>
      </rPr>
      <t>12.5</t>
    </r>
    <r>
      <rPr>
        <sz val="8"/>
        <rFont val="Arial"/>
        <family val="2"/>
      </rPr>
      <t xml:space="preserve"> La Oficina de Atención al Ciudadano ha realizado reuniones con las áreas misionales, lo anterior con el fin de unifiacr criterios informativos, adicional ha realizado 2 Registratones en las ciudades de Pasto y Bucaramanga obteniendo resultados satisfactorios, de igual manera se tienen planeados realizarlos durante toda la vigencia cubriendo la mayor parte del territorio nacional. De igual manera se está desarrollando el proyecto de radicación en los grupos de trabajo territorial, en cuanto a este tema se han realizado reuniones con el fin de establecer criterios para recibir la documentación y temas informáticos para realizar la recepción de documentos.</t>
    </r>
  </si>
  <si>
    <t>12.5 Modelo de Atencion al Ciudadano invima 2017</t>
  </si>
  <si>
    <t>13.8 Digitalización de los procesos sancionatorios activos de la dirección de Responsabilidad Sanitaria</t>
  </si>
  <si>
    <t>13.9 Referenciación del sistema de vigilancia sanitario en las autoridades reguladoras nacionales (ARNr) de referencia regional: Prevención  y Sanción como parte del Control Sanitario</t>
  </si>
  <si>
    <t>13.10 Normograma INVIMA</t>
  </si>
  <si>
    <t>13.11 Adecuacion y/o dotación de sedes Administrativas y Laboratorios del Invima 2017</t>
  </si>
  <si>
    <t>13.12 Fortalecimiento del espacio físico del archivo del Instituto</t>
  </si>
  <si>
    <t>Secretaría General</t>
  </si>
  <si>
    <r>
      <rPr>
        <b/>
        <sz val="8"/>
        <rFont val="Arial"/>
        <family val="2"/>
      </rPr>
      <t xml:space="preserve">13.8 </t>
    </r>
    <r>
      <rPr>
        <sz val="8"/>
        <rFont val="Arial"/>
        <family val="2"/>
      </rPr>
      <t xml:space="preserve">Se realiza ajuste al cronograma y hoja de  Vida del proyecto sin retrasar su ejecucion  permitiendo  incorporar  algunas actividades en su fase I que generan que los entregables tengan mayor impaco a lo largo de la ejecucion, se precisa que el presupusto inicialmente contemplado hace parte del presupusto de la Oficina de Tecnologias por lo que la medicion financiera se le hace directamente a esa oficina y el proyecto no depende de la ejecucion de recursos sino de una renovacion del aplicativo SE SUITE  a cargo de la OTIC.
El proyecto cumple con sus actividades de acuerdo al cronograma establecido en todas sus fases.
</t>
    </r>
    <r>
      <rPr>
        <b/>
        <sz val="8"/>
        <rFont val="Arial"/>
        <family val="2"/>
      </rPr>
      <t>13.9</t>
    </r>
    <r>
      <rPr>
        <sz val="8"/>
        <rFont val="Arial"/>
        <family val="2"/>
      </rPr>
      <t xml:space="preserve"> El proyecto se encuentra definido dentro de las lineas de cooperacion  del -CONVENIO 224 - 2017 PARA AUNAR ESFUERZOS QUE PERMITAN AL INVIMA FORTALECER SUS CAPACIDADES EN LA LUCHA CONTRA LA ILEGALIDAD Y CONTRABANDO Y A TRAVES DE LAS ACCIONES DE IVC ASI COMO FORTALECER LA INVESTIGACION Y SANCION ADMINISTRATIVA SANITARIA FIRMADO CON LA  OFICINA DE LAS NACIONES UNIDAS CONTRA LA DROGA Y EL DELITO, donde se deberán identificar mecanismos y sistemas de control sanitario adoptados por las agencias de referencia sanitarias de Brasil, Mexico, Cuba y Chile. en tal sentido una vez se defina el cronograma con UNDOC, el proyecto podria modificar su cronograma de actividades sujeto a los tiempos establecidos por las naciones Unidas.
Se aclara que los recursos destinados a financiar esta linea de cooperacion estan incluidos dentro del valor pactado con UNDOC en el marco del convenio, por lo que el seguimiento que se realizará al proyecto es netamente fisico y de gestion mas no finaciero.
</t>
    </r>
    <r>
      <rPr>
        <b/>
        <sz val="8"/>
        <rFont val="Arial"/>
        <family val="2"/>
      </rPr>
      <t>13.10</t>
    </r>
    <r>
      <rPr>
        <sz val="8"/>
        <rFont val="Arial"/>
        <family val="2"/>
      </rPr>
      <t xml:space="preserve"> La oficina Asesora Jurídica desde el mes de Febrero empezó a realizar los estudios previos para la contratación de un instrumento que permita la compilación y presentación del marco jurídico de la entidad. Se espera que para el mes de Junio - Julio se tenga un contratista que preste el servicio de crear el instrumento que cumpla las especificaciones solicitadas en los estudios previos y el presupuesto asignado.
</t>
    </r>
    <r>
      <rPr>
        <b/>
        <sz val="8"/>
        <rFont val="Arial"/>
        <family val="2"/>
      </rPr>
      <t>13.11</t>
    </r>
    <r>
      <rPr>
        <sz val="8"/>
        <rFont val="Arial"/>
        <family val="2"/>
      </rPr>
      <t xml:space="preserve"> El grupo de gestión administrativa elaboró los estudios previos para adecuar y remodelar la estructura física de los laboratorios, adquisición e instalación de la plataforma de salva escalera y adecuar la estructura física de las sedes adinsitrativas con el fin que se cuente con un espacio de salas amigas. Los anteriores estudios previos deben estar finalizados y radicados en el grupo de Gestión Contractual a más tardar finalizando el mes de Mayo. 
</t>
    </r>
    <r>
      <rPr>
        <b/>
        <sz val="8"/>
        <rFont val="Arial"/>
        <family val="2"/>
      </rPr>
      <t>13.12</t>
    </r>
    <r>
      <rPr>
        <sz val="8"/>
        <rFont val="Arial"/>
        <family val="2"/>
      </rPr>
      <t xml:space="preserve"> En la tutoría realizada se revisa el cronograma y hoja de vida, ajustando algunos campos, fechas y entregables, dentro de las observaciones relalizadas por el gerente del Proyecto se contempla que si los riesgos se marterializan en el primer semestre de la vigencia 2017, el proyecto no iria y se remplazaria por un nuevo proyecto para la adecuacion de las escaleras externas de la sede chapinero cra 10 No 64-28, como fecha limete de reformulacion el 31 de julio de 2017.</t>
    </r>
  </si>
  <si>
    <t>16.5 Capacitacion y actualizacion de los conocimientos del recurso humano del invima a nivel nacional 2017</t>
  </si>
  <si>
    <t>16.6 Escuela de Capacitación de Inspectores del Invima</t>
  </si>
  <si>
    <t xml:space="preserve">Desarrollar la formación de competencias de los servidores publicos del Invima de acuerdo a una estructura académica lógica. </t>
  </si>
  <si>
    <t>Digitalizar y sistematizar los documentos que componen el proceso sancionatorio por cada una de sus etapas garantizando la seguridad de la información, trazabilidad, autenticidad, confiabilidad y consulta en linea.</t>
  </si>
  <si>
    <t>Determinar los mecanismos y sistemas de control sanitario adoptados por las Agencias de Referencia ubicadas en Brasil, México, Cuba y Chile, estableciendo la finalidad y pertinencia de las mismas frente al riesgo sanitario.</t>
  </si>
  <si>
    <t xml:space="preserve">Contar con un instrumento de compilación y presentación del marco juridico propio de la entidad, consecuente con las responsabilidades asignadas por la ley. </t>
  </si>
  <si>
    <t>Adquirir, adecuar y dotar una bodega, de acuerdo con las necesidades de archivo del instituto.</t>
  </si>
  <si>
    <t>Remodelar y adecuar la estructura física de las sedes administrativas  y los laboratorios del Instituto</t>
  </si>
  <si>
    <t>Por cambio de la jefatura de la Oficina de Tecnologias, los proyectos para la vigencia 2017 se encuentran en estado de reformulación y se hará seguimiento a partir del segundo trimestre.</t>
  </si>
  <si>
    <t>No Aplica</t>
  </si>
  <si>
    <t>No aplica</t>
  </si>
  <si>
    <t>N/A</t>
  </si>
  <si>
    <r>
      <rPr>
        <b/>
        <sz val="8"/>
        <rFont val="Arial"/>
        <family val="2"/>
      </rPr>
      <t xml:space="preserve">16.1  </t>
    </r>
    <r>
      <rPr>
        <sz val="8"/>
        <rFont val="Arial"/>
        <family val="2"/>
      </rPr>
      <t xml:space="preserve">Se da cierre al Proyecto, toda vez que ya se ejecutó en su totalidad la última actividad de la Fase de Cierre, Informe Anual con los resultados de Gestión.
Todas las actividades correspondientes a las diferentes fases se desarrollaron dentro de los tiempos establecidos, cumplielndo así con un aejecución del 100%.
</t>
    </r>
    <r>
      <rPr>
        <b/>
        <sz val="8"/>
        <rFont val="Arial"/>
        <family val="2"/>
      </rPr>
      <t>16.4</t>
    </r>
    <r>
      <rPr>
        <sz val="8"/>
        <rFont val="Arial"/>
        <family val="2"/>
      </rPr>
      <t xml:space="preserve"> se revisaron las actividades correspondientes a la fase de cierre dentro de las cuales se encuentran: 
-Solicitar a los jefes inmediatos las evaluaciones cualitativas de los entrenamientos recibidos por el grupo, se evidencia cada una de los evaluaciones  de los funcionarios que participaron en lo seventos.
-Solicitar los soportes de las socializaciones de los temas de capacitación, se encuentra cuadro de autocapacitaciones de los funcioanarios, se evidencia correos con los diferentes cursos que hizo el funcionario, listado de asistencia y la socialización que se hizo por parte de cada uno de ellos.
</t>
    </r>
    <r>
      <rPr>
        <b/>
        <sz val="8"/>
        <rFont val="Arial"/>
        <family val="2"/>
      </rPr>
      <t>16.5</t>
    </r>
    <r>
      <rPr>
        <sz val="8"/>
        <rFont val="Arial"/>
        <family val="2"/>
      </rPr>
      <t xml:space="preserve"> El desarrollo de la Tutoria en la fase de Ejecución del proyecto en mención se está desarrollando de acuerdo al cronograma y se tiene los siguientes avances: 
-Revisión y consolidación de las solicitudes presentadas para acceso a los programas de educación formal. Para esta actividad se han revisado las solicitudes presentadas para el acceso a los diferentes progrmas y se evidencia cuadro con el seguimiento de  las aprobaciones de capacitación.
-Estas solicitudes ya han sido presentadas ante la comisión de personal para su estudio y posterior aprobación.
-Se evidencian comunicados y correos a los funcionarios solicitantes y al Icetex, infornando la aprobación por parte de la comisión de personal, de igual forma oficio con lista de beneficiarios ,con el valor a girar y si es renovación o crédito nuevo.
</t>
    </r>
    <r>
      <rPr>
        <b/>
        <sz val="8"/>
        <rFont val="Arial"/>
        <family val="2"/>
      </rPr>
      <t>16.6</t>
    </r>
    <r>
      <rPr>
        <sz val="8"/>
        <rFont val="Arial"/>
        <family val="2"/>
      </rPr>
      <t xml:space="preserve"> Se evidencia un avance del proyecto de 15%, lo cual se ve reflejado en el cumplimiento del desarrollo  avance  de las actividades de las diferentes fases programadas inicialmente.
A la fecha ya se validó y se socializó la malla curricular con las áreas de la Institución, se publicó en la página web el plan Institucional de Capacitación y se ha solicitado  a diferentes Universidades los cursos que ofrecen y que se pueden programar en la entidad.
Se revisa fechas en cronograma y se ajustan de acuerdo al avance del proyecto.</t>
    </r>
  </si>
  <si>
    <t>Los proyectos pertenecientes a este programa se encuentran en proceso de reformulación.
Sin embargo se han realizado acciones institucionales alineadas a este programa, las cuales presentan el siguiente avance:
Dentro de las acciones preventivas encaminadas a cumplir con la "Estratégia de Lucha Contra la Ilegalidad y el Contrabando de Productos Competencia del Invima a través de Comercio Electrónico", el Guri para el primer trimestre del año 2017,  realizó monitoreo al producto "Furunbao" que fue objeto de denuncia por parte del titular del registro sanitario, por presunta falsificación del mismo. Una vez realizado el monitoreo de la página web del titular, se evidenciaron infracciones en la publicidad de varios productos competencia del Invima. Por lo anterior y en cumplimiento del procedimiento de "Visitas de ilegalidad, contrabando y corrución", se planeó y coordinó con la Policia Fiscal y Aduanera-POLFA un operativo conjunto, al establecimiento comercial del titular, el cual arrojó como resultado el decomiso de 1.085.876 suplementos dietarios.
El 30 de marzo de 2017, se realizó una rueda de prensa, en la que intervinieron el señor Director General del Invima, Doctor Javier Humberto Guzmán Cruz y el señor Coronel William Valero Torres, Director de la POLFA.  Igualmente se publicó en el portal web Institucional, un artículo de prensa titulado "EN UN HISTÓRICO OPERATIVO EL INVIMA DECOMISÓ MAS DE 4 MILLONES DE UNIDADES DE PRODUCTOS FRAUDULENTOS".</t>
  </si>
  <si>
    <r>
      <t xml:space="preserve">Realizar monitoreo y vigilancia de los residuos de medicamentos veterinarios, plaguicidas y contaminantes químicos que puedan estar presentes en productos de </t>
    </r>
    <r>
      <rPr>
        <sz val="8"/>
        <rFont val="Calibri"/>
        <family val="2"/>
      </rPr>
      <t xml:space="preserve">origen animal para el consumo humano. </t>
    </r>
  </si>
  <si>
    <t>10.9 Metodología para evaluar técnicamente los cateteres de angioplastia siguiendo la metodología propuesta por el IETS para los Stents coronarios</t>
  </si>
  <si>
    <t>10.10 Metodología estandarizada para la evaluación técnica y sanitaria en materia de expedición de registros sanitarios para los materiales de osteosintesis.</t>
  </si>
  <si>
    <t>10.11 Desarrollo aplicativo del Modelo IVC Puertos basado en Riesgos - IVC SOA Puertos para alimentos</t>
  </si>
  <si>
    <t xml:space="preserve">10.12 Desarrollo de Interfaces del Modelo de Inspección, Vigilancia y Control  basado en riesgos IVC- SOA </t>
  </si>
  <si>
    <t>10.13 Implementación del Modelo de Inspección, Vigilancia y Control  basado en riesgos IVC- SOA en Investigaciones Clínicas y Liberación de lotes en productos Biológicos.</t>
  </si>
  <si>
    <t>10.14 Diseño e implementación del Sistema de Autoevaluación Sanitaria - SAS</t>
  </si>
  <si>
    <t>10.15 Desarrollar proyecto para la implementación de la circular 046 de 2016</t>
  </si>
  <si>
    <t>10.16 Articulación y coordinación de la vigilancia sanitaria con enfoque de riesgo en las entidades territoriales de salud</t>
  </si>
  <si>
    <t>10.17 Articulación, fortalecimiento y apoyo a actividades relacionadas con alimentos y bebidas en el marco del postconflicto</t>
  </si>
  <si>
    <t>10.18 Monitoreo de publicidad de los productos competencia de la Dirección de Alimentos y Bebidas</t>
  </si>
  <si>
    <t>10.19 Levantamiento de información de buenas practicas, calidad, seguridad y eficacia  de los medicamentos estudiados por el Invima en pre y pos comercialización</t>
  </si>
  <si>
    <t>10.8 Diagnóstico de las condiciones de almacenamiento en los servicios transfusionales</t>
  </si>
  <si>
    <r>
      <rPr>
        <b/>
        <sz val="8"/>
        <rFont val="Arial"/>
        <family val="2"/>
      </rPr>
      <t>10.8</t>
    </r>
    <r>
      <rPr>
        <sz val="8"/>
        <rFont val="Arial"/>
        <family val="2"/>
      </rPr>
      <t xml:space="preserve"> *Para la ejecución de las visitas de inspección a servicios transfusionales se diseñó lista de chequeo con ejes:
-Abastecimiento de componentes sanguíneos.
-Almacenamiento de componentes sanguíneos.
-Transporte de componentes sanguíneos.
-Garantía de calidad.
-Trazabilidad.
*Se realizaron 54 visitas a servicios transfusionales, correspondientes al 10% del total de servicios habilitados en el país así:
-Armenia: 7
-Neiva: 8
-Bucaramanga: 14
-Barranquilla: 25
*Para 2017 se estima realizar 150 visitas de las cuales a la fecha se han ejecutado 4, se envía solicitud de apoyo a las secretarías para realizarlas en conjunto.
</t>
    </r>
    <r>
      <rPr>
        <b/>
        <sz val="8"/>
        <rFont val="Arial"/>
        <family val="2"/>
      </rPr>
      <t>10.9</t>
    </r>
    <r>
      <rPr>
        <sz val="8"/>
        <rFont val="Arial"/>
        <family val="2"/>
      </rPr>
      <t xml:space="preserve"> El grupo de registros sanitarios de la Dirección de Dispositivos Médicos y otras tecnologías ha realizado ajuste en las fechas del cronograma, definiendo que el proyecto dará inicio a las actividades programadas a partir del segundo trimestre de la vigencia
</t>
    </r>
    <r>
      <rPr>
        <b/>
        <sz val="8"/>
        <rFont val="Arial"/>
        <family val="2"/>
      </rPr>
      <t>10.10</t>
    </r>
    <r>
      <rPr>
        <sz val="8"/>
        <rFont val="Arial"/>
        <family val="2"/>
      </rPr>
      <t xml:space="preserve"> * Se firma contrato # 203 de 2017 entre IETS e Invima. Se definen dos componentes del proyecto "REFERENCIACIÓN INTERNACIONAL NORMATIVA Y REVISIÓN DE LA LITERATURA PARA EVALUAR  UNA TECNOLOGÍA MÉDICA" y "PROPUESTA METODOLÓGICA DE GUÍAS E INSTRUMENTOS DE EVALUACIÓN", cada componente consta de 2 productos.
</t>
    </r>
    <r>
      <rPr>
        <b/>
        <sz val="8"/>
        <rFont val="Arial"/>
        <family val="2"/>
      </rPr>
      <t>10.11</t>
    </r>
    <r>
      <rPr>
        <sz val="8"/>
        <rFont val="Arial"/>
        <family val="2"/>
      </rPr>
      <t xml:space="preserve"> * Se ha realizado la contratación de dos ingenieros Java.
* Guía Modelo de Inspección Vigilancia y Control con enfoque de riesgos para puertos, aeropuertos y pasos de frontera aprobada por Dirección General.
* Cronograma de trabajo en el que se estima que para mes de agosto el modelo este habilitado en dos puertos (Buenaventura-Bogotá)
</t>
    </r>
    <r>
      <rPr>
        <b/>
        <sz val="8"/>
        <rFont val="Arial"/>
        <family val="2"/>
      </rPr>
      <t xml:space="preserve">10.12 </t>
    </r>
    <r>
      <rPr>
        <sz val="8"/>
        <rFont val="Arial"/>
        <family val="2"/>
      </rPr>
      <t xml:space="preserve">* Mediante correo electrónico el grupo de unidad de riesgo ha solicitado a la oficina de tecnologías de la información que defina los módulos de las interfaces que asumirá cada dependencia y de esta manera determinar el alcance del ingeniero a contratar.
</t>
    </r>
    <r>
      <rPr>
        <b/>
        <sz val="8"/>
        <rFont val="Arial"/>
        <family val="2"/>
      </rPr>
      <t>10.13</t>
    </r>
    <r>
      <rPr>
        <sz val="8"/>
        <rFont val="Arial"/>
        <family val="2"/>
      </rPr>
      <t xml:space="preserve"> * La Unidad de Riesgos realiza reuniones con los actores involucrados en las que se socializan los modelos (Investigaciones Clínicas y Liberación de lotes-Laboratorios).
* Se presentan documentos en excel correspondientes a los modelos (Investigaciones Clínicas-Medicamentos y Liberación de lotes-Laboratorios) ajustados, en los que se incluyen diferentes variables y ponderaciones requeridas.
* Se cuenta con la matriz de calificación.
</t>
    </r>
    <r>
      <rPr>
        <b/>
        <sz val="8"/>
        <rFont val="Arial"/>
        <family val="2"/>
      </rPr>
      <t>10.14</t>
    </r>
    <r>
      <rPr>
        <sz val="8"/>
        <rFont val="Arial"/>
        <family val="2"/>
      </rPr>
      <t xml:space="preserve"> * Sistema de Autoevaluación Sanitaria - SAS aprobado en comité de desarrollo administrativo.
* Software - programa de captura de información requerido en pruebas que consta de tres (3) roles Administrador (Unidad de Riesgos) - Coordinador (Director Misional) - Técnico (Profesional misional).
* Con la Dirección de Dispositivos Médicos y Otras Tecnologías se realizará la prueba piloto, las guías de ésta misional ya han sido aprobadas por la Dirección General y cargadas en plataforma.
</t>
    </r>
    <r>
      <rPr>
        <b/>
        <sz val="8"/>
        <rFont val="Arial"/>
        <family val="2"/>
      </rPr>
      <t xml:space="preserve">10.15 </t>
    </r>
    <r>
      <rPr>
        <sz val="8"/>
        <rFont val="Arial"/>
        <family val="2"/>
      </rPr>
      <t xml:space="preserve">* Creación de mesa en la que participan representantes de cada uno de los grupos técnicos de la Dirección de Alimentos y Bebidas, en la que inicialmente se definen variables de análisis de acuerdo a la necesidad.
* Matriz con avance de variables para el análisis situacional o diagnóstico de la problemática sanitaria.
* De acuerdo a la circular se presenta matriz con avance en la que se definen líneas de acción y responsables.
</t>
    </r>
    <r>
      <rPr>
        <b/>
        <sz val="8"/>
        <rFont val="Arial"/>
        <family val="2"/>
      </rPr>
      <t>10.16</t>
    </r>
    <r>
      <rPr>
        <sz val="8"/>
        <rFont val="Arial"/>
        <family val="2"/>
      </rPr>
      <t xml:space="preserve"> *Se formula proyecto, se establece cronograma y se definen contenidos temáticos (vía pública - enfermedades transmitidas por alimentos - capacitación - saneamiento - trazabilidad - inspección basada en riesgo - metodología de las actas - panela - queso - transporte), de los que se elaboran las respectivas presentaciones tanto para vigilados como para ETS.
* Socialización estrategia IEC a entidades territoriales de salud y gremios.
*Se plantea indicador para seguimiento de vehiculos de carnes inscritos por parte de las entidades territoriales de salud.
</t>
    </r>
    <r>
      <rPr>
        <b/>
        <sz val="8"/>
        <rFont val="Arial"/>
        <family val="2"/>
      </rPr>
      <t>10.17</t>
    </r>
    <r>
      <rPr>
        <sz val="8"/>
        <rFont val="Arial"/>
        <family val="2"/>
      </rPr>
      <t xml:space="preserve"> * Los componentes del proyecto son aprobados por la DG.
* Posibles 6 zonas a intervenir sujetas a los acercamientos que se tengan con las gobernaciones y secretarías. Se ha adelantado con Guaviare, Caqueta, Quindio.
* 8 unidades de contenidos temáticos gastronómicos.
* Poblaciones indigenas y campesinas a intervenir, misak y guambianos del Cauca, Valle y Huila; población Totoró del Cauca; Taironas de la Sierra Nevada; Arahuacos; Awa de Nariño; los nasa o paez Huila, Tolima, Putumayo; los emberá amazonía y orinoquía.
</t>
    </r>
    <r>
      <rPr>
        <b/>
        <sz val="8"/>
        <rFont val="Arial"/>
        <family val="2"/>
      </rPr>
      <t>10.18</t>
    </r>
    <r>
      <rPr>
        <sz val="8"/>
        <rFont val="Arial"/>
        <family val="2"/>
      </rPr>
      <t xml:space="preserve"> * La empresa seleccionada tuvo que atender temas contractuales de último momento impidiendo la firmeza de los documentos para la fecha de adjudicación del contrato, situación que ocasionó la inhabilitación del mismo. Por lo anterior, la Dirección de Alimentos y Bebidas realiza ajustes y envía estudios previos a Gestión Contractual de acuerdo a las nuevas condiciones para presentación en comite de contratación.
* Se definen entregas quincenales así: 20 piezas alimentos - 15 bebidas alcohólicas.
</t>
    </r>
    <r>
      <rPr>
        <b/>
        <sz val="8"/>
        <rFont val="Arial"/>
        <family val="2"/>
      </rPr>
      <t xml:space="preserve">10.19 </t>
    </r>
    <r>
      <rPr>
        <sz val="8"/>
        <rFont val="Arial"/>
        <family val="2"/>
      </rPr>
      <t xml:space="preserve">* La Dirección de Medicamentos y Productos Biológicos ha definido que se digitalizaran las actas emitidas por la Comisión Revisora desde 2010 a 2017. Se encuentran en etapa de definición y selección de perfiles para posterior proceso de contratación. </t>
    </r>
  </si>
  <si>
    <t>Verificar que se mantengan las condiciones de almacenamiento dadas por el banco de sangre distribuidor de los hemocomponentes y así, la viabilidad del producto hasta su expiración.</t>
  </si>
  <si>
    <t>Desarrollar una metodología  de Evaluación Técnica de los catereres angioplasticos en el Grupo de Registros Sanitarios de la Dirección de Dispositivos Médicos  y Otras Tecnologías.</t>
  </si>
  <si>
    <t>Dirección de Operaciones Sanitarias</t>
  </si>
  <si>
    <t>Desarrollar una metodología estandarizada para la evaluación técnica y sanitaria en materia de expedición de registros sanitarios para los materiales de osteosintesis.</t>
  </si>
  <si>
    <t>Desarrollar e implementar el  modelo de Inspección, Vigilancia y Control con enfoque de riesgos para puertos, aeropuertos y pasos de frontera.</t>
  </si>
  <si>
    <t>Dirección General/ Grupo Unidad de Reacción inmediata</t>
  </si>
  <si>
    <t>Sistematización de las fuentes de información (interfaces) del modelo de Inspección, Vigilancia y Control basado en riesgos IVC SOA para los establecimientos objeto de vigilancia del Instituto. Las fuentes de información del Modelo son: Visitas de IVC, Programas especiales (fármaco-vigilancia, tecno-vigilancia, riesgos químicos alimentos, microbiológico Alimentos), Alertas Sanitarias, Resultados de Laboratorio, Medidas y Sanciones Sanitarias, Certificaciones BPx, Investigaciones Clínicas y PQR- Denuncias.</t>
  </si>
  <si>
    <t>Implementar el modelo de Inspección, Vigilancia y Control basado en riesgos para Investigaciones Clínicas y Liberación de lotes de productos biologicos.</t>
  </si>
  <si>
    <t xml:space="preserve">Diseñar e implementar el Sistema de Autoevaluación Sanitaria para fortalecer la vigilancia de los establecimientos con niveles aceptables de riesgo. </t>
  </si>
  <si>
    <t>Definir la línea técnica para la formulación del plan nacional de inspección, vigilancia y control de alimentos y bebidas (circular 046 de 2016)</t>
  </si>
  <si>
    <t>Realizar auditoría a la unificación de las acciones de inspección, vigilancia y control sanitario de alimentos y bebidas bajo el enfoque de riesgo  entre las autoridades sanitarias competentes de la IVC en el sector salud</t>
  </si>
  <si>
    <t xml:space="preserve">Diseñar y desarrollar estrategias de intervención que nos permitan la articulación, fortalecimiento y apoyo a actividades de carácter sanitario relacionadas con  alimentos y bebidas en el marco del postconflicto
</t>
  </si>
  <si>
    <t>Realizar la vigilancia publicitaria de los productos competencia de la Dirección de Alimentos y Bebidas</t>
  </si>
  <si>
    <t xml:space="preserve">Fortalecer los procesos de  evaluación de la calidad, seguridad, eficacia  y gestión del riesgo de los medicamentos comercializados y/o utilizados en Colombia. </t>
  </si>
  <si>
    <r>
      <rPr>
        <b/>
        <sz val="8"/>
        <rFont val="Arial"/>
        <family val="2"/>
      </rPr>
      <t>9.1</t>
    </r>
    <r>
      <rPr>
        <sz val="8"/>
        <rFont val="Arial"/>
        <family val="2"/>
      </rPr>
      <t xml:space="preserve"> Para el cierre de esta fase y teniendo en cuenta que la ultima actividad  Analizar  los resultados del Laboratorio de la toma de muestras de la vigencia 2015, ya se surtió en su totalidad y se recibieron los resultados por parte del Laboratoio pendientes de las muestras de Repelentes de insectos y Shampoo anticaspa, se da cierre al proyecto teniendo una ejecución del 100%.
</t>
    </r>
    <r>
      <rPr>
        <b/>
        <sz val="8"/>
        <rFont val="Arial"/>
        <family val="2"/>
      </rPr>
      <t>9.4</t>
    </r>
    <r>
      <rPr>
        <sz val="8"/>
        <rFont val="Arial"/>
        <family val="2"/>
      </rPr>
      <t xml:space="preserve">  Se  entregaron todas las muestras  tomadas en la vigencia 2016 a la Oficina de Laboratorios y Control de Calidad para su análisis de las cuales están pendientes por resultado 13 Repelentes y 14 Enjuagues Bucales. Se hizo la reposición del producto de todas las muestras tomadas a los difernetes establecimientos. Todas las muestras analizadas arrojaron resultados CONFORME, a excepción de una muestra de Crema de Manos que su resultado dió No Conforme para la cual ya se tomó las acciones sanitarias al respecto.
</t>
    </r>
    <r>
      <rPr>
        <b/>
        <sz val="8"/>
        <rFont val="Arial"/>
        <family val="2"/>
      </rPr>
      <t>9.6</t>
    </r>
    <r>
      <rPr>
        <sz val="8"/>
        <rFont val="Arial"/>
        <family val="2"/>
      </rPr>
      <t xml:space="preserve"> En la fase de toma de muestras se programa tomar 20 muestras más de Medicamentos en los GTTs de Barranquilla, Cali, Medellin, se evidencia formato de base de datos con la planificación de las visita con item 897.
En suplementos dietarios se reprograma la toma de 140 muestras más definidas así:
-Item 853: 9 muexstars, item 854: 46 muestras, item 855:10 muestras, item 856:31 muestras, item 857:6 muestras, item 845:9 muestras, item 847: 18, item 848: 11 muestars, las cuales ya fueron tomadas en su totalidad.
</t>
    </r>
    <r>
      <rPr>
        <b/>
        <sz val="8"/>
        <rFont val="Arial"/>
        <family val="2"/>
      </rPr>
      <t>9.7</t>
    </r>
    <r>
      <rPr>
        <sz val="8"/>
        <rFont val="Arial"/>
        <family val="2"/>
      </rPr>
      <t xml:space="preserve"> En ésta fase se desarrollan todas las actividades de Planificación del Proyecto. Comienza con una reunión realizada entre la Oficina de Laboratorios y control de Calidad y la Dirección de Dispositivos Médicos donde se planea la toma de 39 muestras distribuidas asi: - Guantes:9 muestras, -Preservativos: 10 muestras, -Suturas: 15 muestras y por definir: 6 muestras.
Se solicita a la DIAN mediante oficio fechado en Dic. 15 de 201 información sobre base de datos de importación de Guantes. La DIAN  remite archivo  el 19 de Dic. de 2016  donde se encuentra las importaciones realizadas durante el año 2016,  basasdos en esta información se determina los posibles establecimientos que pueden ser muestreados.
Se elabora el mapa de priorización de muestreo por riesgos y se establecer la programación con cacda uno de los GTTs (Guantes): -Bogota: 8 muestras, - Medellin: 2 muestras, - Cali 1: 3 muestras, - Cali 2: 3 muestras,- Costa Caribe 1: e muestras, para un total de 19 muestras de las 8 iniciamente programadas, esto se hace preveendo fallas en la toma de las muestras.
El muestreo se debe empezar un mes antes de la programación de procesamiento hecha por la Oficina de Laboratorios y Control de Calidad. Ej. El  Laboratorio procesa las  muestars en Marzo, entonces se muestrea en Febrero.
De igual forma se procede a hacer la programación del muestreo de Preservativos basados en la información sumistrada por la DIAN  y se determina de la siguinete forma:
-Bogotá: 8 muestras, Costa Caribe 1: 1 muestra, - Occidente 2: 1 muestra, para un total de 10 muestras, a la fecha se han tomado 6 muestras y las 4 muestars restantes se tomarán en el mes de Abril.
</t>
    </r>
    <r>
      <rPr>
        <b/>
        <sz val="8"/>
        <rFont val="Arial"/>
        <family val="2"/>
      </rPr>
      <t>9.8</t>
    </r>
    <r>
      <rPr>
        <sz val="8"/>
        <rFont val="Arial"/>
        <family val="2"/>
      </rPr>
      <t xml:space="preserve"> Para la vigencia se planeó muestrear los siguientes productos: -Capilares: 30 muestras, -Detergentes: 12 muestras, -Pañitos: 22 muestras, y Labiales: 12 muestras para un total de 76 muestras y se identificaron para éste muestreo las ciudades de: -Bogotá, Manizales, Barranquilla,Cali, Pasto, Valledupar,Villavocencio, Medellín, y falta por decicir entre Florencia y Leticia.
Se revisa cronograma y se ajustan  fechas de ejecución de actividades.
</t>
    </r>
    <r>
      <rPr>
        <b/>
        <sz val="8"/>
        <rFont val="Arial"/>
        <family val="2"/>
      </rPr>
      <t>9.9</t>
    </r>
    <r>
      <rPr>
        <sz val="8"/>
        <rFont val="Arial"/>
        <family val="2"/>
      </rPr>
      <t xml:space="preserve"> Para la vigencia 2017 del Proyecto Demuestra la Calidad en Medicamentos se analizaron y definieron 30 principios activos para la toma de 404 muestras de Medicamentos y 250 muestras suplementos dietarios.
De igual forma ya se designaron los funcionarios de las Secretarias de Salud (25), responsables del muestreo.
Se revisó cronograma de actividades y se confirma las fechas estabecidas para la ejecución del proyecto.</t>
    </r>
  </si>
  <si>
    <r>
      <rPr>
        <b/>
        <sz val="8"/>
        <rFont val="Arial"/>
        <family val="2"/>
      </rPr>
      <t xml:space="preserve">8.1 </t>
    </r>
    <r>
      <rPr>
        <sz val="8"/>
        <rFont val="Arial"/>
        <family val="2"/>
      </rPr>
      <t xml:space="preserve">Se ha realizado una visita a 3 IPS en el Departamento de Choco en el marco de la actividad de evaluación a IPS de los entes territoriales
</t>
    </r>
    <r>
      <rPr>
        <b/>
        <sz val="8"/>
        <rFont val="Arial"/>
        <family val="2"/>
      </rPr>
      <t xml:space="preserve">8.2 </t>
    </r>
    <r>
      <rPr>
        <sz val="8"/>
        <rFont val="Arial"/>
        <family val="2"/>
      </rPr>
      <t>Se realiza la revisión de los temas de atención al usuario los cuales fueron consolidados de la siguiente manera:           
Programa de Farmacovigilancia: 31
Reporte en línea- Inscripción: 20
PBRER-PSUR-PGR: 12
Alertas: 5
fallos Terapéuticos: 2
Señales: 2
Eventos Académicos: 1
Vacunas: 1
Requisitos de Farmacovigilancia, visitas BPM Certificación: 1</t>
    </r>
  </si>
  <si>
    <r>
      <rPr>
        <b/>
        <sz val="8"/>
        <rFont val="Arial"/>
        <family val="2"/>
      </rPr>
      <t>7.4</t>
    </r>
    <r>
      <rPr>
        <sz val="8"/>
        <rFont val="Arial"/>
        <family val="2"/>
      </rPr>
      <t xml:space="preserve"> A la fecha se han tomado 1692 muestras para el periodo en mención se han tomado 43 muestras de arroz importado y 43 de arroz nacional y falta por tomar 86 muestras , no se han recibido nuevos análisis de laboratorio por lo que esta actividad no presenta avance.
El proyecto contribuye al levantamiento de información que pueda ser utilizada en el país como aporte a los estudios de admisibilidad y como contribución de información al Subcomite Nacional de Contaminantes del CODEX
</t>
    </r>
    <r>
      <rPr>
        <b/>
        <sz val="8"/>
        <rFont val="Arial"/>
        <family val="2"/>
      </rPr>
      <t>7.5</t>
    </r>
    <r>
      <rPr>
        <sz val="8"/>
        <rFont val="Arial"/>
        <family val="2"/>
      </rPr>
      <t xml:space="preserve"> El proyecto de origen animal concluyó las actividades programadas con un retraso considerable respecto al tiempo establecido cuyo principal inconveniente fue el análisis de las muestras.
En leche cruda se identificarón 2 excedencias en PCBs (contaminates orgánicos) en un predio en el departamento del Quindió , esta información fue remitida la ICA quién tomará las acciones de intervención basado en estos resultados. Para bovinos la ejecución del proyecto ha dado como resultado la identificación de 17 análisis de laboratorio no conformes: 12 con presencia de esteroides y 2 con presencia de micotoxinas, esta información ha sido reportada al ICA para la aplicación de medidas de control , se informó a la Planta de Beneficio y se solicitó al inspector del Invima realizar nuevas tomas de muestras de los animales provenientes de los predios no conformes así como la notificación a los proveedores. Para porcinos la ejecución del plan dio como resultado la identificación de 8 análisis de laboratorio no conformes: 3 por presencia de esteroides, 4 por antibióticos y 1 por anticoxidiales ( antiparasitarios), esta información fue notificada al ICA entidad que se encargará de tomar las medidas de control en los predios afectados. En aves la ejecución del plan dio como resultado la identificación de 6 resultados de laboratorio no conformes por presencia de anticoxidiales ( antiparasitarios), esta información fue notificada al ICA entidad que se encargará de tomar las medidas de control en los predios afectados.
</t>
    </r>
    <r>
      <rPr>
        <b/>
        <sz val="8"/>
        <rFont val="Arial"/>
        <family val="2"/>
      </rPr>
      <t>7.6</t>
    </r>
    <r>
      <rPr>
        <sz val="8"/>
        <rFont val="Arial"/>
        <family val="2"/>
      </rPr>
      <t xml:space="preserve"> El proyecto presenta un retraso en su fase de ejecución y análisis por lo que se debe reorientar el cronograma inicialmente establecido, la ejecución de este proyecto genera levantamiento de información técnica que servirá como insumo para la toma de decisiones por parte de las autoridades compententes.
7.7 En el caso de dulceacuícola el proyecto se encuentra en su etapa de cierre y esta dentro de los tiempos establecidos en el cronograma de trabajo. Para el caso de atún en conserva como medida de intervención debido a los resultados no conformes obtenidos durante la ejecución del proyecto se ha generado la inspección permanente en los sitios identificados, producto de esta inspección se ha presentado un resultado rechazado frente al cual se ha remitido  la propuesta con la formulación de las acciones de intervención al Grupo Técnico de Alimentos y al Grupo de vigilancia epidemiológica para revisión y posterior entrega a la Dirección de Operaciones Sanitarias quién ejecutará las medidas pertinentes
</t>
    </r>
    <r>
      <rPr>
        <b/>
        <sz val="8"/>
        <rFont val="Arial"/>
        <family val="2"/>
      </rPr>
      <t>7.8</t>
    </r>
    <r>
      <rPr>
        <sz val="8"/>
        <rFont val="Arial"/>
        <family val="2"/>
      </rPr>
      <t xml:space="preserve"> El proyecto presenta un retraso en el cronograma establecido en lo referente a la fecha de cierre.
</t>
    </r>
    <r>
      <rPr>
        <b/>
        <sz val="8"/>
        <rFont val="Arial"/>
        <family val="2"/>
      </rPr>
      <t>7.9</t>
    </r>
    <r>
      <rPr>
        <sz val="8"/>
        <rFont val="Arial"/>
        <family val="2"/>
      </rPr>
      <t xml:space="preserve"> La ejecución del plan dio como resultado la identificación de 10 análisis de laboratorio no conformes por presencia de BPA (Bisfenol A) en envases de policarbonato. La información del plan ha sido socializada con el grupo técnico de alimentos de la Dirección para análisis de posibles medidas de intervención.
</t>
    </r>
    <r>
      <rPr>
        <b/>
        <sz val="8"/>
        <rFont val="Arial"/>
        <family val="2"/>
      </rPr>
      <t>7.10</t>
    </r>
    <r>
      <rPr>
        <sz val="8"/>
        <rFont val="Arial"/>
        <family val="2"/>
      </rPr>
      <t xml:space="preserve"> El proyecto presenta retraso frente a la fecha establecida de terminación
</t>
    </r>
    <r>
      <rPr>
        <b/>
        <sz val="8"/>
        <rFont val="Arial"/>
        <family val="2"/>
      </rPr>
      <t xml:space="preserve">7.11 </t>
    </r>
    <r>
      <rPr>
        <sz val="8"/>
        <rFont val="Arial"/>
        <family val="2"/>
      </rPr>
      <t xml:space="preserve">El ejecución del proyecto ha dado como resultado la identificación de 37 análisis de laboratorio no conformes en arepas y 1 resultado no conforme en harina de trigo frente a lo cual se ha remitido la propuesta de intervención al grupo de vigilancia epidemiológica para cieres de establecimientos y nuevas visitas de inspección, vigilancia y control.
</t>
    </r>
    <r>
      <rPr>
        <b/>
        <sz val="8"/>
        <rFont val="Arial"/>
        <family val="2"/>
      </rPr>
      <t>7.12</t>
    </r>
    <r>
      <rPr>
        <sz val="8"/>
        <rFont val="Arial"/>
        <family val="2"/>
      </rPr>
      <t xml:space="preserve"> En el tema de rotulado el proyecto dio como resultado la identificación de 10 análisis de laboratorio rechazados por productos que contienes OGM información que fue remitida al grupo de vigilancia epidemiológica y se procedió a realizar las visitas de IVC  y nuevas tomas de muestras encontrando esta vez resultados satisfactorios. Para eventos no aprobados el proyecto se desarrolla dentro de los tiempos establecidos en el cronograma de trabajo. Para el tema de Organismos Genéticamente Modificados la ejecución del proyecto dio como resultado la identificación de 1 resultado de laboratorio no conforme por contenido de OGM en el producto el cuál esta en proceso de revisión para la remisión de información.
</t>
    </r>
    <r>
      <rPr>
        <b/>
        <sz val="8"/>
        <rFont val="Arial"/>
        <family val="2"/>
      </rPr>
      <t>7.13</t>
    </r>
    <r>
      <rPr>
        <sz val="8"/>
        <rFont val="Arial"/>
        <family val="2"/>
      </rPr>
      <t xml:space="preserve"> La versión final ajustada del informe de resultados fue enviada a la Comisión Europea para revisión y aprobación el 31 de Marzo y se obtuvo respuesta con la aprobación del documento mediante correo electrónico el día 7 de Abril. 
</t>
    </r>
    <r>
      <rPr>
        <b/>
        <sz val="8"/>
        <rFont val="Arial"/>
        <family val="2"/>
      </rPr>
      <t xml:space="preserve">7.14 </t>
    </r>
    <r>
      <rPr>
        <sz val="8"/>
        <rFont val="Arial"/>
        <family val="2"/>
      </rPr>
      <t xml:space="preserve">Para el tema de acuicultura se elaboró el cronograma de trabajo y el documento técnico remitido al Grupo de Unidad de Riesgos el 30 de Marzo. Elaboración y entrega de los lineamientos técnicos y publicación en el mapa de procesos identificado como lineamiento No 4.
Se han elaborado los estudios previos para la contratación de insumos, servicio de transporte y análisis de muestras, estos estudios fueron presentados y revisados en el Comité de contratación el día 8 de Mayo y sobre los cuales se hicieron observaciones que deberan incluirse, ajustarse y presentarse en la versión final de este documento. En el tema de atún en conserva se encuentra dentro de los tiempos establecidos en el cronograma de trabajo
En el desarrollo de la tutoría se revisó la hoja de vida y se hicieron los respectivos ajustes de indicadores, riesgos y el cronograma de trabajo de acuerdo a los lineamientos de Dirección General.
</t>
    </r>
    <r>
      <rPr>
        <b/>
        <sz val="8"/>
        <rFont val="Arial"/>
        <family val="2"/>
      </rPr>
      <t>7.15</t>
    </r>
    <r>
      <rPr>
        <sz val="8"/>
        <rFont val="Arial"/>
        <family val="2"/>
      </rPr>
      <t xml:space="preserve"> Para hortofrutícolas el proyecto presenta retraso en la actividad de elaboración de documento técnico es necesario revisar las recomendaciones y concluir esta actividad lo antes posible.
En el desarrollo de la tutoría se revisó la hoja de vida y se hicieron los respectivos ajustes de indicadores, riesgos y el cronograma de trabajo de acuerdo a los lineamientos de Dirección General. En el caso de las micotoxinas El proyecto se encuentra dentro de los tiempos establecidos en el cronograma de trabajo.
En el desarrollo de la tutoría se revisó la hoja de vida y se hicieron los respectivos ajustes de indicadores, riesgos y el cronograma de trabajo de acuerdo a los lineamientos de Dirección General. En el tema de arroz nacional e importado el proyecto presenta retraso en la actividad de elaboración de documento técnico es necesario revisar las recomendaciones y concluir esta actividad lo antes posible.
En el desarrollo de la tutoría se revisó la hoja de vida y se hicieron los respectivos ajustes de indicadores, riesgos y el cronograma de trabajo de acuerdo a los lineamientos de Dirección General. Para organismos genéticamente modificados de eventos no aprobados, rotulado y OGM orgánicos se han elaborado los cronogramas de trabajo y el documento técnico que fue remitido a la Unidad de Riesgos el día 17 de Abril.
Se han elaborado los estudios previos para la contratación de insumos, servicio de transporte y análisis de muestras, estos estudios fueron presentados y revisados en el Comité de contratación el día 8 de Mayo y sobre los cuales se hicieron observaciones que deberan incluirse, ajustarse y presentarse en la versión final de este documento.
</t>
    </r>
    <r>
      <rPr>
        <b/>
        <sz val="8"/>
        <rFont val="Arial"/>
        <family val="2"/>
      </rPr>
      <t>7.16</t>
    </r>
    <r>
      <rPr>
        <sz val="8"/>
        <rFont val="Arial"/>
        <family val="2"/>
      </rPr>
      <t xml:space="preserve"> Para bovinos el proyecto presenta retraso en la actividad de elaboración de documento técnico es necesario revisar las recomendaciones y concluir esta actividad lo antes posible.
En el desarrollo de la tutoría se revisó la hoja de vida y se hicieron los respectivos ajustes de indicadores, riesgos y el cronograma de trabajo de acuerdo a los lineamientos de Dirección General. En el tema de porcinos, aves, leche cruda y huevo se ha establecido el cronograma de trabajo,  la ejecución del proyecto se realiza de manera conjunta con el ICA por lo que se esta a la espera de la definición de recursos y la participación del ICA en el proyecto previas solicitudes remitidas a esta entidad en el mes de Abril.
Se han elaborado los estudios previos para la contratación de insumos, servicio de transporte y análisis de muestras, estos estudios fueron presentados y revisados en el Comité de contratación el día 8 de Mayo y sobre los cuales se hicieron observaciones que deberan incluirse, ajustarse y presentarse en la versión final de este documento. Para el tema de pollo importado Se ha elaborado el cronograma de trabajo y el documento técnico que fue remitido a la Unidad de Riesgos en el mes de Marzo y sobre el cuál se recibierón las respectivas observaciones incluidas en el documento de versión final remitido nuevamente a la Unidad de Riesgos el 2 de Mayo.
Se han elaborado los estudios previos para la contratación de insumos, servicio de transporte y análisis de muestras, estos estudios fueron presentados y revisados en el Comité de contratación el día 8 de Mayo y sobre los cuales se hicieron observaciones que deberan incluirse, ajustarse y presentarse en la versión final de este documento.</t>
    </r>
  </si>
  <si>
    <r>
      <rPr>
        <b/>
        <sz val="8"/>
        <rFont val="Arial"/>
        <family val="2"/>
      </rPr>
      <t xml:space="preserve">2.1 </t>
    </r>
    <r>
      <rPr>
        <sz val="8"/>
        <rFont val="Arial"/>
        <family val="2"/>
      </rPr>
      <t xml:space="preserve">Se programa reunión para el segundo trimestre con Dirección General para revisión de temas y necesidades para ejecución del proyecto. Este proyecto continua con el mismo avance de ejecución 
</t>
    </r>
    <r>
      <rPr>
        <b/>
        <sz val="8"/>
        <rFont val="Arial"/>
        <family val="2"/>
      </rPr>
      <t>2.2</t>
    </r>
    <r>
      <rPr>
        <sz val="8"/>
        <rFont val="Arial"/>
        <family val="2"/>
      </rPr>
      <t xml:space="preserve"> Se programa reunión para el segundo trimestre con Dirección General para revisión de temas y necesidades para ejecución del proyecto.
</t>
    </r>
    <r>
      <rPr>
        <b/>
        <sz val="8"/>
        <rFont val="Arial"/>
        <family val="2"/>
      </rPr>
      <t>2.4</t>
    </r>
    <r>
      <rPr>
        <sz val="8"/>
        <rFont val="Arial"/>
        <family val="2"/>
      </rPr>
      <t xml:space="preserve"> Dentro del convenio específico con OPS se ha incluido-priorizado línea cuyo producto se relaciona a la "Metodología para el diseño de indicadores para la evaluación de la eficacia e impacto de la cooperaciòn técnica y cientifica en el Invima validado con expertos internacionales para ser incorporado en la ARNr", mediante el cual se articulará la busqueda y contratación del experto requerido para ejecución de las actividades definidas en el proyecto.
</t>
    </r>
    <r>
      <rPr>
        <b/>
        <sz val="8"/>
        <rFont val="Arial"/>
        <family val="2"/>
      </rPr>
      <t>2.5</t>
    </r>
    <r>
      <rPr>
        <sz val="8"/>
        <rFont val="Arial"/>
        <family val="2"/>
      </rPr>
      <t xml:space="preserve"> La Oficina de Asuntos Internacionales presenta avance en cuanto a la definición de líneas estratégicas priorizadas y costos asociados, las cuales ha trabajado con la Dirección de Dispositivos Médicos, Dirección de Medicamentos y Oficina de Laboratorios y las demas actividades se desarrollaran en  apartir del segundo semestre .
</t>
    </r>
  </si>
  <si>
    <r>
      <rPr>
        <b/>
        <sz val="8"/>
        <rFont val="Arial"/>
        <family val="2"/>
      </rPr>
      <t>1.15</t>
    </r>
    <r>
      <rPr>
        <sz val="8"/>
        <rFont val="Arial"/>
        <family val="2"/>
      </rPr>
      <t xml:space="preserve"> Durante el desarrollo de la tutoria se evidencia un avance del 20% , lo anterior teniendo en cuenta que se define parte de la población objetivo para participar en los modulos virtuales de aprendizaje, quedando seleccionados hasta la fecha  los siguientes paises: Argentina, Brasil, Chile, Costa Rica , Cuba, Ecuador, El Salvador, Honduras, Mexico, Panama, Paraguay, Peru, Republica Dominicana y Uruguay, con lo cual se define un cronograma de trabajo inicial  para el proyecto Invima-CECMED OPS el cual se tiene estimado de realizar junto con los interesados en participar a nivel nacional durante mediados del mes de julio hasta comienzos del mes de Agosto, dentro de estas actividades se encuentra la elaboración del material de apoyo (Tareas, foros, etc), creaciòn de credenciales de accesoa a los participantes y las fechas en las cuales se realziran talleres presenciales (B-Learning) en los cuales se refuerzan los conocimientos aprendidos asociados al Programa de Tecnovigilancia. Asi mismo se consolidan y analizan los resultados de la Evaluación Final para el proceso de certificación de los participantes de las Secretarias Departamentales, Distritales y Municipales de Salud y/o Prestadores de Servicios de Salud y/o Profesionales Independientes  en el primer semestre año 2017, los cuales fueron certificados y mediante estos resultados se implementan ajustes para el ciclo 2.
</t>
    </r>
    <r>
      <rPr>
        <b/>
        <sz val="8"/>
        <rFont val="Arial"/>
        <family val="2"/>
      </rPr>
      <t xml:space="preserve">1.16 </t>
    </r>
    <r>
      <rPr>
        <sz val="8"/>
        <rFont val="Arial"/>
        <family val="2"/>
      </rPr>
      <t xml:space="preserve">Se evidencia un avance del 27% , lo anterior teniendo en cuenta el cumplimiento oportuno de las actividades que se tienen definidas en el cronograma, producto de estas actividades en las cuales se contemplo la elaboración de un plan de trabajo, material de apoyo, selección e invitaciones a participantes que soporten el desarrollo de las jornadas de asistencia tecnica programadas, de las cuales 16 se realizaron en las siguientes ciudades del país: 
Bogotá, Medellín, Pasto, Bucaramanga, Santa Marta y Barranquilla, en donde (4) fueron dirigida a la Implementación de la  Vigilancia Proactiva Metodología AMFE y (12) Seguimiento a las IPS que han realizado la Implementación de la Vigilancia Proactiva Metodología AMFE, sensibilizando a 168 profesionales.
Con estas asistencias técnicas se busca que las  instituciones prestadoras de servicios de salud logre implementar y fortalecer los sistemas de gestión de riesgo clinico con enfoque preventivo aplicado al analisis y gestión de eventos e incidentes adversos relacionados con reactivos de diagnostico in vitro.
</t>
    </r>
    <r>
      <rPr>
        <b/>
        <sz val="8"/>
        <rFont val="Arial"/>
        <family val="2"/>
      </rPr>
      <t>1.17</t>
    </r>
    <r>
      <rPr>
        <sz val="8"/>
        <rFont val="Arial"/>
        <family val="2"/>
      </rPr>
      <t xml:space="preserve"> Para el segundo trimestre del año se han realizado las actividades planeadas en el cronograma asi:
Registratones: Monteria: con una participación de 22 personas, Villavicencio: con una participación de 16 personas,  a los cuales se les socializó información relacionada con los procesos sancionatorios con énfasis cuando se incurren en el incumplimiento de las normas. Adicionalmente se hizo entrega del material informativo (volantes).
Asistencias técnicas: Tunja: Participación de 48 personas, Popayán: 40 personas. Donde se socializó todo lo relacionado al proceso sancionatorio: Normatividad de alimentos y sus correspondientes procedimientos y términos.
</t>
    </r>
    <r>
      <rPr>
        <b/>
        <sz val="8"/>
        <rFont val="Arial"/>
        <family val="2"/>
      </rPr>
      <t>1.18</t>
    </r>
    <r>
      <rPr>
        <sz val="8"/>
        <rFont val="Arial"/>
        <family val="2"/>
      </rPr>
      <t xml:space="preserve"> En el material de consulta elaborado se realizó la presentación del taller, donde se incluyeron los objetivos, las competencias a desarrollar, asi como las unidades tematicas a abordar y el desarrollo de las mismas: 
Unidad Temática  No. 1: Responsabilidad Sanitaria y Generalidades del INVIMA.
Unidad Temática  No. 2: Régimen Aplicable en Colombia para Medicamentos y sus Excepciones
Unidad Temática  No. 3: Directrices para la Aplicación de la Normatividad Sanitaria de Alimentos y  Plantas de Beneficio.  
</t>
    </r>
    <r>
      <rPr>
        <b/>
        <sz val="8"/>
        <rFont val="Arial"/>
        <family val="2"/>
      </rPr>
      <t xml:space="preserve">1.19 </t>
    </r>
    <r>
      <rPr>
        <sz val="8"/>
        <rFont val="Arial"/>
        <family val="2"/>
      </rPr>
      <t>Se elaboraron los estudios previos y se elaboraron  los correspondientes contratos con RTVC E IMPRENTA NACIONAL.
Adicionalmente se diseñaron  3 mensajes: de Medicamentos, Alimentos y Compras por internet  estos mensajes actualmente estan para revisión y aprobación por parte de la Presidencia de la República.
Se proyecta realizar un capitulo mas de A lo sanchez</t>
    </r>
  </si>
  <si>
    <r>
      <rPr>
        <b/>
        <sz val="8"/>
        <rFont val="Arial"/>
        <family val="2"/>
      </rPr>
      <t xml:space="preserve">3.2 </t>
    </r>
    <r>
      <rPr>
        <sz val="8"/>
        <rFont val="Arial"/>
        <family val="2"/>
      </rPr>
      <t xml:space="preserve">Se evidencia que el avance de ejecución es de un 82%,  de acuerdo al desarrollo de las actividades inicialmente definidas mediante las cuales  se busca  la integración de los Reportes Periódicos al Sistema de notificación ONLINE, para optimizar la gestión del Grupo de Tecnovigilancia y de las Secretarias de Salud,  la consulta ONLINE de las Alertas, Recall e Informes de seguridad y  la implementación de la Red Nacional de Implantes para la trazabilidad de los Dispositivos Médicos Implantables por medio de la implementación de módulos informáticos de notificación ONLINE de eventos e incidentes adversos trimestrales, Recall, Informes de Seguridad, Alertas y Hurtos - RISARH y la trazabilidad de los dispositivos médicos. </t>
    </r>
    <r>
      <rPr>
        <b/>
        <sz val="8"/>
        <rFont val="Arial"/>
        <family val="2"/>
      </rPr>
      <t xml:space="preserve">
3.3 </t>
    </r>
    <r>
      <rPr>
        <sz val="8"/>
        <rFont val="Arial"/>
        <family val="2"/>
      </rPr>
      <t xml:space="preserve">Durante el desarrollo de la tutoria se evidencia que el avance de ejecución del 41%, el proyecto se encuentra con la finalización de la primera fase que corresponde a la planeaciòn y al diagnóstico inicial necesario para poder continuar con el desarrollo de actividades encaminadas a la ejecución de la evaluación del estado actual del Programa Nacional de Tecnovigilancia, valorando su desempeño (estructura, capacidad y recursos) y el  impacto que ha generado en la salud pública para si poder  implementar mejoras para mantener y fidelizar a los actores del programa, fortaleciendo en el tiempo la vigilancia posmercado de dispositivos médicos en el país y las capacidades técnico-científicas de los profesionales de la Dirección. Además de actualizar los contenidos de los módulos de aprendizaje, lo que involucra la virtualización, gamificación y la certificación.
</t>
    </r>
  </si>
  <si>
    <r>
      <rPr>
        <b/>
        <sz val="8"/>
        <rFont val="Arial"/>
        <family val="2"/>
      </rPr>
      <t>4.1</t>
    </r>
    <r>
      <rPr>
        <sz val="8"/>
        <rFont val="Arial"/>
        <family val="2"/>
      </rPr>
      <t xml:space="preserve"> Se espera que durante el tercer trimestre de esta vigencia tener el portable web validado y en marcha para  la integración de los Reportes Periódicos al Sistema de notificación ONLINE, que permita la gestión del Grupo de Reactivovigilancia y de las Secretarias de Salud,  la consulta ONLINE de las Alertas, Recall e Informes de seguridad y  la implementación de la Red Nacional por medio de la implementación de módulos informáticos de notificación ONLINE de eventos e incidentes adversos trimestrales, Recall, Informes de Seguridad, Alertas y Hurtos - FRIARH y la trazabilidad de los Raectivos de Diagnostico Invitro.</t>
    </r>
  </si>
  <si>
    <r>
      <rPr>
        <b/>
        <sz val="8"/>
        <rFont val="Arial"/>
        <family val="2"/>
      </rPr>
      <t>7.4</t>
    </r>
    <r>
      <rPr>
        <sz val="8"/>
        <rFont val="Arial"/>
        <family val="2"/>
      </rPr>
      <t xml:space="preserve"> El proyecto contribuye al levantamiento de información que pueda ser utilizada en el país como aporte a los estudios de admisibilidad y como contribución de información al Subcomite Nacional de Contaminantes del CODEX
</t>
    </r>
    <r>
      <rPr>
        <b/>
        <sz val="8"/>
        <rFont val="Arial"/>
        <family val="2"/>
      </rPr>
      <t xml:space="preserve">7.5 </t>
    </r>
    <r>
      <rPr>
        <sz val="8"/>
        <rFont val="Arial"/>
        <family val="2"/>
      </rPr>
      <t xml:space="preserve">LECHE CRUDA: No se han presentado resultados no rechazados para este trimestre, el proyecto presenta un retraso en el análisis de muestras que pude impactar el tiempo establecido para el cierre del proyecto.
BOVINOS: El proyecto presenta un retraso en lo referente a toma de muestras por lo que se recomienda hacer una revisión y distribución para establecimiento de un cronograma ajustado el cual debe ser discutido y concertado con la Dirección de Operaciones Sanitarias y la Oficina de Laboratorios del Invima.
PORCINOS: La ejecución del proyecto para este trimestre ha dado como resultado la identificación de un análisis de laboratorio no conforme por aumento del límite máximo de residuos en ivermectina (antiparasitarios de uso externo e interno) por lo que se ha notificado al ICA para la toma de medidas de intervención dentro del predio y se realiza la notificación a la planta de beneficio para el control de proveedores y al inspector del Invima para efectuar nuevas tomas de muestras a los animales provenientes y de esta manera realizar un seguimiento continuo.
AVES: El proyecto presenta un retraso en lo referente a toma de muestras por lo que se recomienda hacer una revisión y distribución para establecimiento de un cronograma ajustado el cual debe ser discutido y concertado con la Dirección de Operaciones Sanitarias y la Oficina de Laboratorios del Invima.
</t>
    </r>
    <r>
      <rPr>
        <b/>
        <sz val="8"/>
        <rFont val="Arial"/>
        <family val="2"/>
      </rPr>
      <t xml:space="preserve">7.6 </t>
    </r>
    <r>
      <rPr>
        <sz val="8"/>
        <rFont val="Arial"/>
        <family val="2"/>
      </rPr>
      <t xml:space="preserve"> El proyecto tiene pendiente la consolidación del informe final que depende de las observaciones por parte de la Unidad de Riesgos y la Direción General.
</t>
    </r>
    <r>
      <rPr>
        <b/>
        <sz val="8"/>
        <rFont val="Arial"/>
        <family val="2"/>
      </rPr>
      <t>7.7</t>
    </r>
    <r>
      <rPr>
        <sz val="8"/>
        <rFont val="Arial"/>
        <family val="2"/>
      </rPr>
      <t xml:space="preserve"> El proyecto Dulceacuícola presenta retraso en una actividad de la fase de cierre lo que implica un atraso en la fase de divulgación de resultados se recomienda establecer los tiempos reales y redireccionar la ejecución de estas actividades; El proyecto de atún ha concluido su fase de ejecución y análisis y se esta a la espera de aprobación por parte de Dirección General.
</t>
    </r>
    <r>
      <rPr>
        <b/>
        <sz val="8"/>
        <rFont val="Arial"/>
        <family val="2"/>
      </rPr>
      <t xml:space="preserve">7.8 </t>
    </r>
    <r>
      <rPr>
        <sz val="8"/>
        <rFont val="Arial"/>
        <family val="2"/>
      </rPr>
      <t xml:space="preserve">El proyecto esta dentro de los tiempos establecidos sin embargo hay que realizar monitoreo a la elaboración del informe y socialización de resultados.
</t>
    </r>
    <r>
      <rPr>
        <b/>
        <sz val="8"/>
        <rFont val="Arial"/>
        <family val="2"/>
      </rPr>
      <t>7.9</t>
    </r>
    <r>
      <rPr>
        <sz val="8"/>
        <rFont val="Arial"/>
        <family val="2"/>
      </rPr>
      <t xml:space="preserve"> La información del plan ha sido socializada con el grupo técnico de alimentos de la Dirección para análisis de posibles medidas de intervención.
</t>
    </r>
    <r>
      <rPr>
        <b/>
        <sz val="8"/>
        <rFont val="Arial"/>
        <family val="2"/>
      </rPr>
      <t>7.10</t>
    </r>
    <r>
      <rPr>
        <sz val="8"/>
        <rFont val="Arial"/>
        <family val="2"/>
      </rPr>
      <t xml:space="preserve"> El proyecto avanza en cuanto a las actividades que estaban pendientes sin embargo se recomienda gestionar de manera efectiva la información y observaciones recibidas de manera que se pueda efectuar la socialización ante el Director General y demas entidades y hacer el cierre del proyecto.
</t>
    </r>
    <r>
      <rPr>
        <b/>
        <sz val="8"/>
        <rFont val="Arial"/>
        <family val="2"/>
      </rPr>
      <t>7.11</t>
    </r>
    <r>
      <rPr>
        <sz val="8"/>
        <rFont val="Arial"/>
        <family val="2"/>
      </rPr>
      <t xml:space="preserve"> El proyecto se esta ejecutando dentro de los tiempos establecidos en el cronograma de trabajo.
</t>
    </r>
    <r>
      <rPr>
        <b/>
        <sz val="8"/>
        <rFont val="Arial"/>
        <family val="2"/>
      </rPr>
      <t>7.12</t>
    </r>
    <r>
      <rPr>
        <sz val="8"/>
        <rFont val="Arial"/>
        <family val="2"/>
      </rPr>
      <t xml:space="preserve"> El proyecto tiene pendiente la divulgación de resultados se recomienda remitir el documento a la mayor brevedad
</t>
    </r>
    <r>
      <rPr>
        <b/>
        <sz val="8"/>
        <rFont val="Arial"/>
        <family val="2"/>
      </rPr>
      <t>7.13</t>
    </r>
    <r>
      <rPr>
        <sz val="8"/>
        <rFont val="Arial"/>
        <family val="2"/>
      </rPr>
      <t xml:space="preserve"> El plan fue aprobado por la Unión Europea despúes de la revisión de los parámetros técnicos.
</t>
    </r>
    <r>
      <rPr>
        <b/>
        <sz val="8"/>
        <rFont val="Arial"/>
        <family val="2"/>
      </rPr>
      <t>7.14</t>
    </r>
    <r>
      <rPr>
        <sz val="8"/>
        <rFont val="Arial"/>
        <family val="2"/>
      </rPr>
      <t xml:space="preserve"> Para acuicultura el proyecto se encuentra dentro de los tiempos establecidos en el cronograma de trabajo.
En el desarrollo de la tutoría se revisó la hoja de vida y se hicieron los respectivos ajustes de indicadores, riesgos y el cronograma de trabajo de acuerdo a los lineamientos de Dirección General.
Para atún en conserva el proyecto avanza dentro de los tiempos establecidos sin embargo se debe revisar la actividad de contratación de transporte y análisis de muestras que se requiere para lo que resta del año con el fin de evitar retrasos.
</t>
    </r>
    <r>
      <rPr>
        <b/>
        <sz val="8"/>
        <rFont val="Arial"/>
        <family val="2"/>
      </rPr>
      <t xml:space="preserve">7.15 </t>
    </r>
    <r>
      <rPr>
        <sz val="8"/>
        <rFont val="Arial"/>
        <family val="2"/>
      </rPr>
      <t xml:space="preserve">Micotoxinas - El proyecto avanza dentro de los tiempos establecidos sin embargo se debe revisar la actividad de contratación de transporte y análisis de muestras que se requiere para lo que resta del año con el fin de evitar retrasos.
Hortofrutícola - El proyecto avanza dentro de los tiempos establecidos sin embargo se debe revisar la actividad de contratación de transporte y análisis de muestras que se requiere para lo que resta del año con el fin de evitar retrasos. Así como los cronogramas y compromisos con el ICA.
OGM Eventos no aprobados - El proyecto avanza dentro de los tiempos establecidos sin embargo se debe revisar la actividad de contratación de transporte y análisis de muestras que se requiere para lo que resta del año con el fin de evitar retrasos.
OGM rotulado - El proyecto avanza dentro de los tiempos establecidos sin embargo se debe revisar la actividad de contratación de transporte y análisis de muestras que se requiere para lo que resta del año con el fin de evitar retrasos.
OGM orgánicos - El proyecto avanza dentro de los tiempos establecidos sin embargo se debe revisar la actividad de contratación de transporte y análisis de muestras que se requiere para lo que resta del año con el fin de evitar retrasos.
</t>
    </r>
    <r>
      <rPr>
        <b/>
        <sz val="8"/>
        <rFont val="Arial"/>
        <family val="2"/>
      </rPr>
      <t>7.16</t>
    </r>
    <r>
      <rPr>
        <sz val="8"/>
        <rFont val="Arial"/>
        <family val="2"/>
      </rPr>
      <t xml:space="preserve"> Bovinos - El proyecto avanza dentro de los tiempos establecidos sin embargo se debe revisar la actividad de contratación de transporte y análisis de muestras que se requiere para lo que resta del año con el fin de evitar retrasos.
Porcinos - El proyecto presenta retrasos en su fase de planeación, ejecución y análisis debido a la difucultad para definir la participación del ICA con la ejecución de actividades que impactan el proyecto por lo que se requiere actuar de manera urgente y oportuna en la definición de compromisos y niveles de participación tanto del Invima como ICA .
Aves - El proyecto presenta retrasos en algunas actividades sin embargo la ejecución se esta llevando a cabo dentro de los tiempos enmarcados en el cronograma de trabajo 
Huevo - El proyecto presenta retrasos en algunas actividades se requiere un monitoreo y seguimiento riguroso que permita realizar los correctivos en tiempos oportunos.
Leche cruda - El proyecto presenta retrasos en su fase de planeación, ejecución y análisis debido a la difucultad para definir la participación del ICA con la ejecución de actividades que impactan el proyecto por lo que se requiere actuar de manera urgente y oportuna en la definición de compromisos y niveles de participación tanto del Invima como ICA .
Pollo importado - El proyecto esta avanzando con retrasos de las actividades de contratación de servicios de análisis, transporte de muestras y toma de muestras frente a lo definido en los tiempos establecidos en los cronogramas de trabajo, se requiere el seguimiento e implementación de acciones oportunas que permitan redireccionar las actividades pendientes.
</t>
    </r>
  </si>
  <si>
    <r>
      <rPr>
        <b/>
        <sz val="8"/>
        <rFont val="Arial"/>
        <family val="2"/>
      </rPr>
      <t>8.1</t>
    </r>
    <r>
      <rPr>
        <sz val="8"/>
        <rFont val="Arial"/>
        <family val="2"/>
      </rPr>
      <t xml:space="preserve"> Socialización del programa de Farmacovigilancia y acompañamiento para la obtención de líneas bases de medición de implementación del programa en las instituciones e inscripción de IPS al programa de Farmacovigilancia en el departamento de Chocó. 
Capacitación a las IPS en los departamentos visitados  y participación como ponentes en los encuentros de farmacovigilancia convocados por las Secretarías de Salud.
</t>
    </r>
    <r>
      <rPr>
        <b/>
        <sz val="8"/>
        <rFont val="Arial"/>
        <family val="2"/>
      </rPr>
      <t>8.2</t>
    </r>
    <r>
      <rPr>
        <sz val="8"/>
        <rFont val="Arial"/>
        <family val="2"/>
      </rPr>
      <t xml:space="preserve"> Se ha realizado una actividad con la participación de 62 asistentes de la industria farmaceutica para el abordaje de las temáticas del programa nacional de farmacovigilancia, normatividad y reporte en línea.</t>
    </r>
  </si>
  <si>
    <r>
      <rPr>
        <b/>
        <sz val="8"/>
        <rFont val="Arial"/>
        <family val="2"/>
      </rPr>
      <t>9.4</t>
    </r>
    <r>
      <rPr>
        <sz val="8"/>
        <rFont val="Arial"/>
        <family val="2"/>
      </rPr>
      <t xml:space="preserve"> No presenta avance
</t>
    </r>
    <r>
      <rPr>
        <b/>
        <sz val="8"/>
        <rFont val="Arial"/>
        <family val="2"/>
      </rPr>
      <t xml:space="preserve">9.6 </t>
    </r>
    <r>
      <rPr>
        <sz val="8"/>
        <rFont val="Arial"/>
        <family val="2"/>
      </rPr>
      <t xml:space="preserve">La totalidad de las muestras tomadas ya han sido enviadas al Laboratorio, de igual forma la realización de oficios para la reposición de muestras tomadas en los diferentes establecimiento se ha cumplido al 100% y el análisis de control  de calidad  se ha surtido completamente.
Una vez revisados los resultados del analisis de las muestras  y detectados los no  conformes, se procede  a  la toma de muestras de retención  en los establecimientos  fabricantes y son enviadas  mediante oficio al laboratorio.
</t>
    </r>
    <r>
      <rPr>
        <b/>
        <sz val="8"/>
        <rFont val="Arial"/>
        <family val="2"/>
      </rPr>
      <t>9.7</t>
    </r>
    <r>
      <rPr>
        <sz val="8"/>
        <rFont val="Arial"/>
        <family val="2"/>
      </rPr>
      <t xml:space="preserve"> Se evidencia un avande de ejecución en el mismo de 55%.Las actividades correspondientes a la toma de muestras, remisión al Laboratorio  y revisión  de los informes de las muestras analizadas para Guantes y Preservativos se han cumplido dentro de las fechas establecidas en el cronograma inicial, presentado un avance de ejecución de 100%. No se han reportado resultados No Conforme.
</t>
    </r>
    <r>
      <rPr>
        <b/>
        <sz val="8"/>
        <rFont val="Arial"/>
        <family val="2"/>
      </rPr>
      <t>9.8</t>
    </r>
    <r>
      <rPr>
        <sz val="8"/>
        <rFont val="Arial"/>
        <family val="2"/>
      </rPr>
      <t xml:space="preserve"> Una vez realizada la segunda tutoria al proyectio en mención, se evidencia que la ejecución de las actividades de las diferentes fases se han desarrollado dentro de los tiempos establecidos en el cronograma inicial. Se han visitado cuatro (4) ciudades de las nueve programadas y se han tomado cuarenta y cinco (45) muestras, de las cuales tres (3) Microbiología, ya han sido analizadas por el Laboratorio con resultado conforme y se ha solicitado la reposición de veintiún  (21) muestras a los titulares de la NSO.
</t>
    </r>
    <r>
      <rPr>
        <b/>
        <sz val="8"/>
        <rFont val="Arial"/>
        <family val="2"/>
      </rPr>
      <t xml:space="preserve">9.9 </t>
    </r>
    <r>
      <rPr>
        <sz val="8"/>
        <rFont val="Arial"/>
        <family val="2"/>
      </rPr>
      <t>El proceso de contratación pública que corresponde a la Fase de Planeación del proyecto ya está en el Grupo de Contractual para su revisión y aprobación. 
A la fecha se ha impartido directrices en 21 Seccionales Territoriales de Salud por parte del funcionario designado  de la Dirección de Medicamentos y Productos Biológicos.</t>
    </r>
  </si>
  <si>
    <r>
      <rPr>
        <b/>
        <sz val="8"/>
        <rFont val="Arial"/>
        <family val="2"/>
      </rPr>
      <t>12.4</t>
    </r>
    <r>
      <rPr>
        <sz val="8"/>
        <rFont val="Arial"/>
        <family val="2"/>
      </rPr>
      <t xml:space="preserve"> Se realizó la actualización de documentos con el fin de mantener la documentación de acuerdo a los requisitos de  la ISO 9001:2015, adicionalmente se realizaron sesiones de entrenamiento en la norma en diferentes áreas en los meses de mayo a junio. Las auditorías internas se empezaron a realizar a partir del mes de mayo y hasta el mes de agosto. Se mantienen los seguimientos mensuales que se le realiza a cada proceso revisando indicadores, riesgos, acciones correctivas, preventivas y oportunidades de mejora.
</t>
    </r>
    <r>
      <rPr>
        <b/>
        <sz val="8"/>
        <rFont val="Arial"/>
        <family val="2"/>
      </rPr>
      <t>12.5</t>
    </r>
    <r>
      <rPr>
        <sz val="8"/>
        <rFont val="Arial"/>
        <family val="2"/>
      </rPr>
      <t xml:space="preserve"> La Oficina de Atención al Ciudadano ha realizado reuniones virtuales y presenciales según sea el caso para la capacitación con los GTT´s con el fin de recibir radicados de plantas de beneficio en los diferentes GTT´s. Para los GTT´s (Occidente 2, Orinoquía, Centro Oriente 3, Occidente 1 y Centro Oriente 2) ya se encuentran en prueba piloto de radicación para trámites de plantas de beneficio. En este segundo trimestre se realizaron 3 registratones en las ciudades de Barranquilla, Villavicencio y Costa Caribe.</t>
    </r>
  </si>
  <si>
    <r>
      <rPr>
        <b/>
        <sz val="8"/>
        <rFont val="Arial"/>
        <family val="2"/>
      </rPr>
      <t>13.8</t>
    </r>
    <r>
      <rPr>
        <sz val="8"/>
        <rFont val="Arial"/>
        <family val="2"/>
      </rPr>
      <t xml:space="preserve"> Se verifica el cumplimiento de las actividades en las fechas propuestas. El cargue de los procesos sancionatorios a la herramienta de SeSuite esta pendiente por parte de la Oficina de Tecnologías de la Información, ya que aún no se realiza la adecuación del sistema, por lo que esto hace retrasar algunas actividades de este proyecto.
</t>
    </r>
    <r>
      <rPr>
        <b/>
        <sz val="8"/>
        <rFont val="Arial"/>
        <family val="2"/>
      </rPr>
      <t xml:space="preserve">13.9 </t>
    </r>
    <r>
      <rPr>
        <sz val="8"/>
        <rFont val="Arial"/>
        <family val="2"/>
      </rPr>
      <t xml:space="preserve">Este proyecto ha cumplido con las fechas establecidas de la fase de planeación, la fase de ejecución se encuentra dentro de tiempo. Este proyecto es similar al proyecto "Fortalecer los mecanismos de prevención, investigación y sanción de la ilegalidad, contrabando y corrupción en el Invima", por tanto se esta trabajando en conjunto con el Grupo Unidad de Reacción Inmediata con el fin de obtener la viabilidad de las actividades planteadas inicialmente o en su defecto aunar esfuerzos y trabajar este proyecto por medio del convenio con la UNODC
</t>
    </r>
    <r>
      <rPr>
        <b/>
        <sz val="8"/>
        <rFont val="Arial"/>
        <family val="2"/>
      </rPr>
      <t>13.10</t>
    </r>
    <r>
      <rPr>
        <sz val="8"/>
        <rFont val="Arial"/>
        <family val="2"/>
      </rPr>
      <t xml:space="preserve"> La Oficina Asesora Jurídica, realizó los estudios previos para la contratación del servicio de crear el normograma Invima con las especificaciones que se requieren, sin embargo estos estudios previos se retrasaron por temas contractuales y al final se realizó por licitación. A la fecha de la tutoría no se tienen respuestas acerca de la licitación dado que el plazo aún no vence.
</t>
    </r>
    <r>
      <rPr>
        <b/>
        <sz val="8"/>
        <rFont val="Arial"/>
        <family val="2"/>
      </rPr>
      <t>13.11</t>
    </r>
    <r>
      <rPr>
        <sz val="8"/>
        <rFont val="Arial"/>
        <family val="2"/>
      </rPr>
      <t xml:space="preserve"> Durante le primer semestre de la vigencia el proyecto presenta una avance de ejecucion del 21%, dado principalmente por el cumplimiento en la fase I;  los retrasos se deben a que los procesos contractuales  no han salido en los tiempos establecidos sin embargo se espera que para el tercer trimestre se adjudique el 100% de los contratos que ya cuentan con estudios previos y certificados de disponibilidad presupuestal expedidos.
</t>
    </r>
    <r>
      <rPr>
        <b/>
        <sz val="8"/>
        <rFont val="Arial"/>
        <family val="2"/>
      </rPr>
      <t>13.12</t>
    </r>
    <r>
      <rPr>
        <sz val="8"/>
        <rFont val="Arial"/>
        <family val="2"/>
      </rPr>
      <t xml:space="preserve"> Dentro de la tutoria desarrollada se concluye que por los tiempos establecidos la fase IV de adecuacion debe ir solamente hasta la actividad de realizar estudios de previos para la contratacion de las adecuaciones, y la ejecucion de la obra se desarrollaria mediante un nuevo proyecto en la vigencia 2018 con recursos de esa vigencia y el actual proyecto se cierra con la compra del Inmueble. 
</t>
    </r>
  </si>
  <si>
    <r>
      <rPr>
        <b/>
        <sz val="8"/>
        <rFont val="Arial"/>
        <family val="2"/>
      </rPr>
      <t>16.5</t>
    </r>
    <r>
      <rPr>
        <sz val="8"/>
        <rFont val="Arial"/>
        <family val="2"/>
      </rPr>
      <t xml:space="preserve"> Se solicita hacer otro sí para el traslado de los recursos al fondo  de Administración INVIMA-ICETEX. A medida que son recibidas las solicitudes, éstas son revisadas y presentadas ante la comisión de personal.
El seguimiento al cumplimeinto del reglamento operativo y presupuestal, lo aprobado y lo  ejecutado se realiza por parte del Grupo de Talento Humano y el Grupo Financiero y Presupuestal.
</t>
    </r>
    <r>
      <rPr>
        <b/>
        <sz val="8"/>
        <rFont val="Arial"/>
        <family val="2"/>
      </rPr>
      <t>16.6</t>
    </r>
    <r>
      <rPr>
        <sz val="8"/>
        <rFont val="Arial"/>
        <family val="2"/>
      </rPr>
      <t xml:space="preserve"> El proyecto presenta un avance de ejecución de sus actividades del 34%.
Se solicitó cotizaciones de entrenamiento (temas transversales) a lo cual la Universidad de Antioquia dio respuesta allegando su cotización y la Universidad del Valle ofrece disculpas porque hasta el mes de septiembre podría presentar la suya.
 </t>
    </r>
  </si>
  <si>
    <r>
      <rPr>
        <b/>
        <sz val="8"/>
        <rFont val="Arial"/>
        <family val="2"/>
      </rPr>
      <t>17.3</t>
    </r>
    <r>
      <rPr>
        <sz val="8"/>
        <rFont val="Arial"/>
        <family val="2"/>
      </rPr>
      <t xml:space="preserve"> Se evidencia Acta No. 01 de 18 de enero de 2017 donde se define que los dispositivos médicos a continuar para el 2017 son protesis mamarias y sondas las cuales estan consideradas en el Top 10 de Tecnovigilancia y tienen impacto porque son dispositivos que se encuentran señalizados.De acuerdo con lo anterior se genero un plan de trabajo donde se establecen las fases, actividades y productos. Con base en el plan de trabajo se procedió a enviar solicitud de cotizaciones a universidades como la Universidad Nacional, Universidad de Andes, Javeriana, Antioquia, Bosque y a institutos como el IETS, teniendo respuesta de la Universidad de Antioquia.</t>
    </r>
  </si>
  <si>
    <r>
      <rPr>
        <b/>
        <sz val="8"/>
        <rFont val="Arial"/>
        <family val="2"/>
      </rPr>
      <t xml:space="preserve">17.3 </t>
    </r>
    <r>
      <rPr>
        <sz val="8"/>
        <rFont val="Arial"/>
        <family val="2"/>
      </rPr>
      <t>Se evidencia Acta No. 01 de 16 de Junio de 2017 donde se establece el cronograma de trabajo para el desarrollo del objeto contractual: Prestación de Servicios para el fortalecimiento del proceso de control de calidad de dispositivos médicos con enfoque de riesgo para prótesis mamarias y sondas competencia del Laboratorio Físico-Mecánico de Dispositivos Médicos y Otras Tecnologías correspondiente al contrato interadministrativo No. 305 de 2017 por un valor de ciento veinte millones de pesos $120.000.000 . Adicionalmente se establece el cronograma de reuniones presenciales y los informes de seguimiento. De igual forma se evidencia cronograma donde se indican las etapas del contrato como Diagnóstico, metodología de investigación e implementación preliminar que realizará la Universidad de Antioquia. Actualmente el proyecto se encuentra en etapa de diagnóstico, la cual corresponde a levantamiento de información de acuerdo a lo indicado en el contrato y cronograma.</t>
    </r>
  </si>
  <si>
    <t>18.1 Fortalecer los mecanismos de prevención, investigación y sanción de la ilegalidad, contrabando y corrupción en el Invima</t>
  </si>
  <si>
    <t>Aunar esfuerzos que permitan al Invima fortalecer sus capacidades en la lucha contra la ilegalidad y contrabando, a través de acciones de IVC; así como fortalecer la investigación y sanción administrativa sanitaria, en el marco de la protección de la salud de la población en Colombia.</t>
  </si>
  <si>
    <t>Grupo Unidad de Reacción Inmediata - Dirección General</t>
  </si>
  <si>
    <r>
      <rPr>
        <b/>
        <sz val="8"/>
        <rFont val="Arial"/>
        <family val="2"/>
      </rPr>
      <t>18.1</t>
    </r>
    <r>
      <rPr>
        <sz val="8"/>
        <rFont val="Arial"/>
        <family val="2"/>
      </rPr>
      <t xml:space="preserve">  Mediante el convenio No. 224 entre el Invima y UNODC  (Oficina de las Naciones Unidas contra la Droga y el Delito), se da inicio  al proyecto Fortalecer los mecanismos de prevención, investigación y sanción de la ilegalidad, contrabando y corrupción en el Invima, cuyo objeto  es Aunar esfuerzos que permitan al Invima fortalecer sus capacidades en la lucha contra la ilegalidad y contrabando, a través de acciones de IVC; así como fortalecer la investigación y sanción administrativa sanitaria, en el marco de la protección de la salud de la población en Colombia. con un presupuesto asigando de $905.113.000 distribuidos de la siguiente manera:  Invima $450.029.000 con una participación del 49.72% y UNODC $455.084.000 con una participación del 50.28%.
En esta fase se diseñaron y se implementaron cuatro (4) conversatorios con funcionarios de Invima e instituciones relacionadas en temas asociados con actividades IVC (Inspección, Vigilancia y Control) y procedimiento sancionatorio sanitarios </t>
    </r>
  </si>
  <si>
    <r>
      <rPr>
        <b/>
        <sz val="8"/>
        <rFont val="Arial"/>
        <family val="2"/>
      </rPr>
      <t>2.1</t>
    </r>
    <r>
      <rPr>
        <sz val="8"/>
        <rFont val="Arial"/>
        <family val="2"/>
      </rPr>
      <t xml:space="preserve"> Este proyecto se debe revisar en conjunto con Dirección General en temas puntuales de proyectos Institucionales 2016, lineamientos proyectos 2017 y resultados-responsabilidades DOFA-CAME asignadas al la Oficina de Asuntos Internacionales.
</t>
    </r>
    <r>
      <rPr>
        <b/>
        <sz val="8"/>
        <rFont val="Arial"/>
        <family val="2"/>
      </rPr>
      <t xml:space="preserve">2.2 </t>
    </r>
    <r>
      <rPr>
        <sz val="8"/>
        <rFont val="Arial"/>
        <family val="2"/>
      </rPr>
      <t xml:space="preserve">Este proyecto se debe revisar en conjunto con Dirección General en temas puntuales de proyectos Institucionales 2016, lineamientos proyectos 2017 y resultados-responsabilidades DOFA-CAME asignadas al la Oficina de Asuntos Internacionales.
</t>
    </r>
    <r>
      <rPr>
        <b/>
        <sz val="8"/>
        <rFont val="Arial"/>
        <family val="2"/>
      </rPr>
      <t>2.4</t>
    </r>
    <r>
      <rPr>
        <sz val="8"/>
        <rFont val="Arial"/>
        <family val="2"/>
      </rPr>
      <t xml:space="preserve"> Se suscribe Convenio Específico de Cooperación Técnica N°1 entre OPS/OMS e Invima el 11 de mayo de 2017, el cual tiene duración hasta el 15 de diciembre de 2017. 
</t>
    </r>
    <r>
      <rPr>
        <b/>
        <sz val="8"/>
        <rFont val="Arial"/>
        <family val="2"/>
      </rPr>
      <t xml:space="preserve">2.5 </t>
    </r>
    <r>
      <rPr>
        <sz val="8"/>
        <rFont val="Arial"/>
        <family val="2"/>
      </rPr>
      <t xml:space="preserve"> Se suscribe Convenio Específico de Cooperación Técnica N°1 entre OPS/OMS e Invima el 11 de mayo de 2017, el cual tiene duración hasta el 15 de diciembre de 2017. </t>
    </r>
  </si>
  <si>
    <r>
      <rPr>
        <b/>
        <sz val="8"/>
        <rFont val="Arial"/>
        <family val="2"/>
      </rPr>
      <t>10.8</t>
    </r>
    <r>
      <rPr>
        <sz val="8"/>
        <rFont val="Arial"/>
        <family val="2"/>
      </rPr>
      <t xml:space="preserve">  Se realizan reuniones con entes territoriales y envío de oficio para articulación. Se hacen 70 visitas en conjunto con entes territoriales en los departamentos de Atlántico, Quindio, Córdoba, Huila y Orinoquía y se realiza la  aplicación de dos medidas sanitarias (1. Equipo sin mantenimiento / 2. Uso de reactivos vencidos)
</t>
    </r>
    <r>
      <rPr>
        <b/>
        <sz val="8"/>
        <rFont val="Arial"/>
        <family val="2"/>
      </rPr>
      <t>10.9</t>
    </r>
    <r>
      <rPr>
        <sz val="8"/>
        <rFont val="Arial"/>
        <family val="2"/>
      </rPr>
      <t xml:space="preserve">  Se realiza la elaboración de la metodología y definición de una muestra de 140 registros sanitarios de los cuales se tomaron 4 expedientes para aplicación de dicha metodología sobre la cual se obtendrá el documento diagnóstico que contemplará una revisión documental, referenciación internacional, revisión de literatura, propuesta con la herramienta a utilizar y pruebas de validación.
</t>
    </r>
    <r>
      <rPr>
        <b/>
        <sz val="8"/>
        <rFont val="Arial"/>
        <family val="2"/>
      </rPr>
      <t>10.10</t>
    </r>
    <r>
      <rPr>
        <sz val="8"/>
        <rFont val="Arial"/>
        <family val="2"/>
      </rPr>
      <t xml:space="preserve"> El proyecto se esta desarrallando dentro de los tiempos establecidos sin embargo es necesario tener en cuenta las recomendaciones realizadas para las actvidades con cierto tiempo de retraso en cuanto a su inicio.
</t>
    </r>
    <r>
      <rPr>
        <b/>
        <sz val="8"/>
        <rFont val="Arial"/>
        <family val="2"/>
      </rPr>
      <t xml:space="preserve">10.11 </t>
    </r>
    <r>
      <rPr>
        <sz val="8"/>
        <rFont val="Arial"/>
        <family val="2"/>
      </rPr>
      <t xml:space="preserve"> Se verifica el Aplicativo del Modelo IVC en puertos basado en riesgos en funcionamiento, se realizan pruebas al aplicativo (Unidad de riesgo - Ingenieros de sistemas - Dirección de Operaciones Sanitarias). Se realiza la alianza global del comercio aportará al proyecto recursos técnicos.
</t>
    </r>
    <r>
      <rPr>
        <b/>
        <sz val="8"/>
        <rFont val="Arial"/>
        <family val="2"/>
      </rPr>
      <t xml:space="preserve">10.12 </t>
    </r>
    <r>
      <rPr>
        <sz val="8"/>
        <rFont val="Arial"/>
        <family val="2"/>
      </rPr>
      <t xml:space="preserve">Se realiza el Contrato de prestación de servicios profesionales N°346 con fechas de ejecución entre el 30-06-2017 y 22-12-2017.
</t>
    </r>
    <r>
      <rPr>
        <b/>
        <sz val="8"/>
        <rFont val="Arial"/>
        <family val="2"/>
      </rPr>
      <t xml:space="preserve">10.13 </t>
    </r>
    <r>
      <rPr>
        <sz val="8"/>
        <rFont val="Arial"/>
        <family val="2"/>
      </rPr>
      <t xml:space="preserve">Se realiza el Informe trimestral de Inspección, Vigilancia y Control basado en riesgos, mediante el cual se hace seguimiento a todas las Direcciones Misionales.
</t>
    </r>
    <r>
      <rPr>
        <b/>
        <sz val="8"/>
        <rFont val="Arial"/>
        <family val="2"/>
      </rPr>
      <t xml:space="preserve">10.14 </t>
    </r>
    <r>
      <rPr>
        <sz val="8"/>
        <rFont val="Arial"/>
        <family val="2"/>
      </rPr>
      <t xml:space="preserve">Se realiza la aplicación pruebas funcionales, Prueba piloto con Dirección de Dispositivos Médicos y empresas usuarias, se realiza la selección definitiva de 2543 establecimientos vigilados SAS de la Dirección de Dispositivos Médicos y Otras Tecnologías.
</t>
    </r>
    <r>
      <rPr>
        <b/>
        <sz val="8"/>
        <rFont val="Arial"/>
        <family val="2"/>
      </rPr>
      <t>10.15</t>
    </r>
    <r>
      <rPr>
        <sz val="8"/>
        <rFont val="Arial"/>
        <family val="2"/>
      </rPr>
      <t xml:space="preserve">  El 26 de mayo de 2017 se realiza reunión de Comité Técnico de la Circular 046 de 2016. Matriz de Análisis situacional o diagnóstico de la problemática sanitaria de alimentos y bebidas. Se realiza la propuesta de plan de trabajo del diagnóstico de la problemática sanitaria nacional, cuestionario para visitas internacionales de la información requerida de referentes internacionales-Sistema de Gestión de Inocuidad de Alimentos. El 27-06-2017 se realiza videoconferencia entre Directora del Departamento de Alimentos del Ministerio de Salud de Uruguay y funcionarios del Invima.
</t>
    </r>
    <r>
      <rPr>
        <b/>
        <sz val="8"/>
        <rFont val="Arial"/>
        <family val="2"/>
      </rPr>
      <t>10.16</t>
    </r>
    <r>
      <rPr>
        <sz val="8"/>
        <rFont val="Arial"/>
        <family val="2"/>
      </rPr>
      <t xml:space="preserve"> El proyecto avanza dentro de los tiempos establecidos en el cronograma de trabajo, producto de la ejecución de este proyecto se ha logrado obtener la información sobre los datos de los vehiculos transportadores de carne inscritos, a la fecha se ha recibido la información de 16 departamentos y 2 distritos sobre 3715 vehiculos, esta información ha sido consolidada por el Invima y publicada en la página web institucional para consulta de las diferentes entidades y como mecanismo para evidenciar el cumplimiento de requisitos debido a que estos vehiculos por norma deben estar inscritos.
</t>
    </r>
    <r>
      <rPr>
        <b/>
        <sz val="8"/>
        <rFont val="Arial"/>
        <family val="2"/>
      </rPr>
      <t>10.17</t>
    </r>
    <r>
      <rPr>
        <sz val="8"/>
        <rFont val="Arial"/>
        <family val="2"/>
      </rPr>
      <t xml:space="preserve"> Durante el desarrollo de la tutoría se evidencia que el avance de ejecución , soportado en un avance en cuanto a la planeación y ejecución de acompañamientos  al sector gastronómico de los departamentos de córdoba, Caquetá, Guaviare buenaventura , para el caso del trabajo realizado con entidades territoriales de salud que busquen el apoyo a comunidades afectadas en el tema del postconflicto se ha avanzado en la identificación , preparación de temáticas y acompañamientos a las Gobernaciones de Arauca, Guaviare, Caquetá y el Municipio de Buenaventura y en cuanto a comunidades campesinas e indígenas en la identificación y elaboración de temáticas y cronogramas de trabajo con las entidades involucradas con el fin de tener un panorama claro sobre que poblaciones, cuando y quienes atenderán estas comunidades, con estas ejecuciones se espera realizar  intervenciones que permitan la articulación, fortalecimiento y apoyo a actividades de carácter sanitario relacionadas con  alimentos y bebidas en el marco del postconflicto.
</t>
    </r>
    <r>
      <rPr>
        <b/>
        <sz val="8"/>
        <rFont val="Arial"/>
        <family val="2"/>
      </rPr>
      <t>10.18</t>
    </r>
    <r>
      <rPr>
        <sz val="8"/>
        <rFont val="Arial"/>
        <family val="2"/>
      </rPr>
      <t xml:space="preserve"> Se realiza el contrato 281 de 2017 celebrado entre Invima y Competencia Plus S.A.S., empresa que realizará el monitoreo de medios masivos de comunicación para la publicidad de productos competencia del Invima. El contrato ha dado inicio el 26-05-2017 y su ejecución será hasta el 15-12-2017. En el mes de Junio el contratista realiza la primera entrega. Se realizan sensibilizaciones en Boyacá y Cundinamarca en temas relacionados con Rotulado y Publicidad.
</t>
    </r>
    <r>
      <rPr>
        <b/>
        <sz val="8"/>
        <rFont val="Arial"/>
        <family val="2"/>
      </rPr>
      <t>10.19</t>
    </r>
    <r>
      <rPr>
        <sz val="8"/>
        <rFont val="Arial"/>
        <family val="2"/>
      </rPr>
      <t xml:space="preserve"> Se realiza la contratación de profesionales para el Grupo de Registro Sanitario de Síntesis Química, quienes se encuentran en capacitación para realización de vistas para consolidar la hoja de vida unica de los establecimientos competencia de la Dirección.
</t>
    </r>
  </si>
  <si>
    <r>
      <rPr>
        <b/>
        <sz val="8"/>
        <rFont val="Arial"/>
        <family val="2"/>
      </rPr>
      <t xml:space="preserve">11.1 </t>
    </r>
    <r>
      <rPr>
        <sz val="8"/>
        <rFont val="Arial"/>
        <family val="2"/>
      </rPr>
      <t xml:space="preserve"> Este proyecto se debe revisar en conjunto con Dirección General en temas puntuales de proyectos Institucionales 2016, lineamientos proyectos 2017 y resultados-responsabilidades DOFA-CAME asignadas al la Oficina de Asuntos Internacionales.
</t>
    </r>
    <r>
      <rPr>
        <b/>
        <sz val="8"/>
        <rFont val="Arial"/>
        <family val="2"/>
      </rPr>
      <t>11.2</t>
    </r>
    <r>
      <rPr>
        <sz val="8"/>
        <rFont val="Arial"/>
        <family val="2"/>
      </rPr>
      <t xml:space="preserve"> Este proyecto está pendiente para avance a partir del tercer trimestre de la vigencia en curso.
</t>
    </r>
    <r>
      <rPr>
        <b/>
        <sz val="8"/>
        <rFont val="Arial"/>
        <family val="2"/>
      </rPr>
      <t>11.3</t>
    </r>
    <r>
      <rPr>
        <sz val="8"/>
        <rFont val="Arial"/>
        <family val="2"/>
      </rPr>
      <t xml:space="preserve"> Se realizó la publicación contrato de traducciones SECOP MC-003-2017 abierto hasta el 27-07-2017. Se logró la apertura del mercado para la exportación de carne porcina a Perú. Se realizó auditoria de Israel - Carne Bovina.
Con Unión Europea se efectua apertura de mercado para la exportación de productos compuestos elaborados con materia prima colombiana con base en la aprobación del PNRQ de lácteos. Se elabora Informe de monitoreo de aprovechamiento de mercados. Se realiza asistencia a foro técnico en Bruselas y Comite MSF de Estados Unidos en Bogotá en el mes de Junio.
</t>
    </r>
    <r>
      <rPr>
        <b/>
        <sz val="8"/>
        <rFont val="Arial"/>
        <family val="2"/>
      </rPr>
      <t>11.4</t>
    </r>
    <r>
      <rPr>
        <sz val="8"/>
        <rFont val="Arial"/>
        <family val="2"/>
      </rPr>
      <t xml:space="preserve"> Se realiza la Firma ISP - Invima - Cofepris del 8 de Junio de 2017 para implementación del acuerdo de Cooperación.
Se autoriza acceso de suplementos dietarios a México, Chile y Perú mediante negociaciones de Alianza del Pacífico llevadas a cabo en el mes de mayo y junio.</t>
    </r>
  </si>
  <si>
    <t>Programa nacional de reactivovigilancia</t>
  </si>
  <si>
    <r>
      <rPr>
        <b/>
        <sz val="8"/>
        <rFont val="Arial"/>
        <family val="2"/>
      </rPr>
      <t>2.1</t>
    </r>
    <r>
      <rPr>
        <sz val="8"/>
        <rFont val="Arial"/>
        <family val="2"/>
      </rPr>
      <t xml:space="preserve"> * Documento final del Banco de Experiencias de Cooperación y Buenas Prácticas Regulatorias del Instituto, el cual se constituirá como la oferta formal del Invima hacia homólogos de otros países y al mismo tiempo sea incluido en el catálogo de oferta formal del País en diferentes escenarios internacionales
* Documento con lineamientos para la implementación del Banco de Experiencias y Buenas Prácticas Regulatorias del Invima.
</t>
    </r>
    <r>
      <rPr>
        <b/>
        <sz val="8"/>
        <rFont val="Arial"/>
        <family val="2"/>
      </rPr>
      <t>2.2</t>
    </r>
    <r>
      <rPr>
        <sz val="8"/>
        <rFont val="Arial"/>
        <family val="2"/>
      </rPr>
      <t xml:space="preserve"> * Se ha definido que la estrategía de cooperación internacional se presentará en comité directivo.
</t>
    </r>
    <r>
      <rPr>
        <b/>
        <sz val="8"/>
        <rFont val="Arial"/>
        <family val="2"/>
      </rPr>
      <t xml:space="preserve">2.4 </t>
    </r>
    <r>
      <rPr>
        <sz val="8"/>
        <rFont val="Arial"/>
        <family val="2"/>
      </rPr>
      <t xml:space="preserve">* OPS realiza contratación de profesional encargado de diseñar indicadores para la evaluación de la eficacia e impacto de la cooperación técnica y científica en el INVIMA, de acuerdo con los lineamientos definidos por el INVIMA, como parte de las líneas priorizadas en el Convenio específico No. 1 suscrito entre la OPS/OMS y el Invima.
Adicional se realiza el Plan de trabajo y cronograma.
</t>
    </r>
    <r>
      <rPr>
        <b/>
        <sz val="8"/>
        <rFont val="Arial"/>
        <family val="2"/>
      </rPr>
      <t>2.5</t>
    </r>
    <r>
      <rPr>
        <sz val="8"/>
        <rFont val="Arial"/>
        <family val="2"/>
      </rPr>
      <t xml:space="preserve"> * Participación del Invima y apoyo de financiamiento a cinco países para reunión del IMDRF en Otawa - Canadá.
* En agosto se adelantó taller pre-congreso en el que se validaron documentos con los expertos internacionales asistentes que el Grupo de Farmacovigilancia presentó.
* Taller de fortalecimiento técnico en señales, PGR.
* Actas de comites técnicos.</t>
    </r>
  </si>
  <si>
    <r>
      <rPr>
        <b/>
        <sz val="8"/>
        <rFont val="Arial"/>
        <family val="2"/>
      </rPr>
      <t>3.2</t>
    </r>
    <r>
      <rPr>
        <sz val="8"/>
        <rFont val="Arial"/>
        <family val="2"/>
      </rPr>
      <t xml:space="preserve"> Se evidencia que hay ejecución de acuerdo al desarrollo de las actividades inicialmente definidas mediante las cuales  se busca  la integración de los Reportes Periódicos al Sistema de notificación ONLINE, para optimizar la gestión del Grupo de Tecnovigilancia y de las Secretarias de Salud,  la consulta ONLINE de las Alertas, Recall e Informes de seguridad por medio de la implementación de módulos informáticos de notificación ONLINE de eventos e incidentes adversos trimestrales, Recall, Informes de Seguridad, Alertas y Hurtos - RISARH y la trazabilidad de los dispositivos médicos. 
</t>
    </r>
    <r>
      <rPr>
        <b/>
        <sz val="8"/>
        <rFont val="Arial"/>
        <family val="2"/>
      </rPr>
      <t>3.3</t>
    </r>
    <r>
      <rPr>
        <sz val="8"/>
        <rFont val="Arial"/>
        <family val="2"/>
      </rPr>
      <t xml:space="preserve"> Se evidencia que el proyecto se encuentra con la finalización de la segunda fase que corresponde a la definción de la metodología y plan de trabajo  aplicación a los grupos de trabajo escogidos para la evaluación  del estado actual del Programa Nacional de Tecnovigilancia, ene este proceso de desarrollo la identificación de los miembros activos de la red inscritos en el Programa Nacional de Tecnovigilancia que han reportado al sistema y aquellos que han participado en los procesos de formación de las actividades de AMFE y de Vigilancia Centinela.</t>
    </r>
  </si>
  <si>
    <r>
      <rPr>
        <b/>
        <sz val="8"/>
        <rFont val="Arial"/>
        <family val="2"/>
      </rPr>
      <t xml:space="preserve">4.1 </t>
    </r>
    <r>
      <rPr>
        <sz val="8"/>
        <rFont val="Arial"/>
        <family val="2"/>
      </rPr>
      <t>Durante el desarrollo de la tutoria se evidencia ejecución y se espera que durante el cuarto trimestre de esta vigencia tener el modulo de reportes en la  web validado y en marcha para  la integración de los Reportes Periódicos al Sistema de notificación ONLINE, que permita la gestión del Grupo de Reactivovigilancia y de las Secretarias de Salud,  la consulta ONLINE de las Alertas, Recall e Informes de seguridad y  la implementación de la Red Nacional por medio de la implementación de módulos informáticos de notificación ONLINE de eventos e incidentes adversos trimestrales, Recall, Informes de Seguridad, Alertas y Hurtos - FRIARH y la trazabilidad de los Raectivos de Diagnostico Invitro.</t>
    </r>
  </si>
  <si>
    <r>
      <t xml:space="preserve">5.3 </t>
    </r>
    <r>
      <rPr>
        <sz val="8"/>
        <rFont val="Arial"/>
        <family val="2"/>
      </rPr>
      <t xml:space="preserve">Dentro de los informes que se debian realizar y entregar dentro del cronograman de un total de 6 informes se entregaron 5 a la unidad de riesgos, que se relacionan a continuacion: 
Plan de muestreo bebidas gaseosas, Plan de cafeina en bebidas energizantes, Plan de verificacion quesos frescos, Plan de verificacion agua envasada,Plan verificación Vibrio Colera, Plan de verificacion pesca union europea, quedando pendiente el Plan de muestreo de verificacion de panela. 
</t>
    </r>
    <r>
      <rPr>
        <b/>
        <sz val="8"/>
        <rFont val="Arial"/>
        <family val="2"/>
      </rPr>
      <t xml:space="preserve">5.4 </t>
    </r>
    <r>
      <rPr>
        <sz val="8"/>
        <rFont val="Arial"/>
        <family val="2"/>
      </rPr>
      <t xml:space="preserve">Teniendo en cuenta que el tamaño de la muestra la cual fue definida para un total de 353 muestras a tomar en plantas de beneficio animal con inspección oficial permanente, donde cada muestra o pool de muestras estaba conformada por 10 submuestras, es decir se tomaron un total de 3530 muestras, las cuales fueron análizadas por el laboratorio de parasitología de la Universidad de Antioquia.  Dicho laboratorio realiza la entrega de los resultados de forma individual, por lo tanto esto requirio de mas tiempo del que inicalmente se tenia proyectado para la entrega del informe final de resultado, toda vez que se realizo la consolidación total de los resultados por planta de acuerdo al número de muestras programadas y se realiza una posterior verificación de la información reportada de las muestras tomadas, criterios necesarios para continuar con la elaboración del informe final de resultados del plan de muestreo.
</t>
    </r>
    <r>
      <rPr>
        <b/>
        <sz val="8"/>
        <rFont val="Arial"/>
        <family val="2"/>
      </rPr>
      <t>5.6</t>
    </r>
    <r>
      <rPr>
        <sz val="8"/>
        <rFont val="Arial"/>
        <family val="2"/>
      </rPr>
      <t xml:space="preserve"> Dentro de los informes que se debian realizar y entregar dentro del cronograman de un total de 4 informes; se relacionan a continuacion los informes elaborados y entregados  la unidad de riesgos:
Plan de muestreo tortas y bizcochos, plan de leche en polvo, plan de monitoreo de derivados carnicos, plan de monitoreo huevo liquido.
</t>
    </r>
    <r>
      <rPr>
        <b/>
        <sz val="8"/>
        <rFont val="Arial"/>
        <family val="2"/>
      </rPr>
      <t xml:space="preserve">El proyecto 5.7 se divide en los siguientes:
5.7.1 </t>
    </r>
    <r>
      <rPr>
        <sz val="8"/>
        <rFont val="Arial"/>
        <family val="2"/>
      </rPr>
      <t xml:space="preserve">El proyecto avanza dentro de los tiempos establecidos en el cronograma de trabajo
</t>
    </r>
    <r>
      <rPr>
        <b/>
        <sz val="8"/>
        <rFont val="Arial"/>
        <family val="2"/>
      </rPr>
      <t xml:space="preserve">5.7.2 </t>
    </r>
    <r>
      <rPr>
        <sz val="8"/>
        <rFont val="Arial"/>
        <family val="2"/>
      </rPr>
      <t xml:space="preserve">El proyecto avanza dentro de los tiempos establecidos en el cronograma de trabajo.
</t>
    </r>
    <r>
      <rPr>
        <b/>
        <sz val="8"/>
        <rFont val="Arial"/>
        <family val="2"/>
      </rPr>
      <t>5.7.3</t>
    </r>
    <r>
      <rPr>
        <sz val="8"/>
        <rFont val="Arial"/>
        <family val="2"/>
      </rPr>
      <t xml:space="preserve"> El proyecto se desarrolla con retrasos en algunas actividade que han impacto el inicio de la fase de ejecución y análisis por lo que es necesario revisar el cronograma de trabajo de manera que se ajuste a los tiempos finales establecidos.
</t>
    </r>
    <r>
      <rPr>
        <b/>
        <sz val="8"/>
        <rFont val="Arial"/>
        <family val="2"/>
      </rPr>
      <t xml:space="preserve">5.7.4 </t>
    </r>
    <r>
      <rPr>
        <sz val="8"/>
        <rFont val="Arial"/>
        <family val="2"/>
      </rPr>
      <t xml:space="preserve">El proyecto se esta desarrollando dentro de los tiempos establecidos y se han utilizado otros mecanismos que garanticen el inicio de la ejeución y análisis hasta que se formalicen los procesos contractuales en marcha.
</t>
    </r>
    <r>
      <rPr>
        <b/>
        <sz val="8"/>
        <rFont val="Arial"/>
        <family val="2"/>
      </rPr>
      <t xml:space="preserve">El proyecto 5.8 se divide en los siguientes:
5.8.1 </t>
    </r>
    <r>
      <rPr>
        <sz val="8"/>
        <rFont val="Arial"/>
        <family val="2"/>
      </rPr>
      <t xml:space="preserve">El proyecto se desarrolla dentro de los tiempos establecidos en el cronograma de trabajo
</t>
    </r>
    <r>
      <rPr>
        <b/>
        <sz val="8"/>
        <rFont val="Arial"/>
        <family val="2"/>
      </rPr>
      <t>5.8.2</t>
    </r>
    <r>
      <rPr>
        <sz val="8"/>
        <rFont val="Arial"/>
        <family val="2"/>
      </rPr>
      <t xml:space="preserve"> El proyecto se desarrolla con retrasos en la entrega de lineamientos e inicio de la toma de muestras por lo que es necesario revisar y ajustar con los actores involucrados los nuevos cronogramas de trabajo
</t>
    </r>
    <r>
      <rPr>
        <b/>
        <sz val="8"/>
        <rFont val="Arial"/>
        <family val="2"/>
      </rPr>
      <t>5.8.3</t>
    </r>
    <r>
      <rPr>
        <sz val="8"/>
        <rFont val="Arial"/>
        <family val="2"/>
      </rPr>
      <t xml:space="preserve"> El proyecto presenta retrasos en las fases de planeación y ejecución y análisis por lo que es importante revisar y ajustar los cronogramas de trabajo.</t>
    </r>
    <r>
      <rPr>
        <b/>
        <sz val="8"/>
        <rFont val="Arial"/>
        <family val="2"/>
      </rPr>
      <t xml:space="preserve">
5.8.4 </t>
    </r>
    <r>
      <rPr>
        <sz val="8"/>
        <rFont val="Arial"/>
        <family val="2"/>
      </rPr>
      <t xml:space="preserve">El proyecto presenta retrasos en lo referente a la entrega de lineamientos y el inicio de la fase de ejecución y análisis por lo que se sugiere tener en cuenta las recomendaciones dadas
</t>
    </r>
    <r>
      <rPr>
        <b/>
        <sz val="8"/>
        <rFont val="Arial"/>
        <family val="2"/>
      </rPr>
      <t>5.8.5</t>
    </r>
    <r>
      <rPr>
        <sz val="8"/>
        <rFont val="Arial"/>
        <family val="2"/>
      </rPr>
      <t xml:space="preserve"> El proyecto presenta retrasos en la fase de planeación y la fase de ejecución y análisis por lo que es importante revisar las observaciones y recomendaciones realizadas.</t>
    </r>
  </si>
  <si>
    <r>
      <rPr>
        <b/>
        <sz val="8"/>
        <rFont val="Arial"/>
        <family val="2"/>
      </rPr>
      <t>5.3</t>
    </r>
    <r>
      <rPr>
        <sz val="8"/>
        <rFont val="Arial"/>
        <family val="2"/>
      </rPr>
      <t xml:space="preserve"> En el desarrollo de la tutoria se pudo verificar el avance lde proyecto de las actividades propuestas pendientes por realizar dentro de las diferentes fases del proyecto que permito establecer la finalizacion del mismo con un valor agregado en donde se construyo una matriz general en donde se incluyeron los diferentes programas de muestreo  tanto de verificación y monitoreo en donde se consigno toda la información recogida de los analisis realizados por los diferentes productos selecionados y en donde se definen las medidas de control en aquellos que lo requieran.
</t>
    </r>
    <r>
      <rPr>
        <b/>
        <sz val="8"/>
        <rFont val="Arial"/>
        <family val="2"/>
      </rPr>
      <t>5.4</t>
    </r>
    <r>
      <rPr>
        <sz val="8"/>
        <rFont val="Arial"/>
        <family val="2"/>
      </rPr>
      <t xml:space="preserve"> Con respecto a las reuniones para presentar los resultados obtenidos del plan de muestreo para la detección y tipificación de Trichinella spp. en canales de la especie porcina, en plantas de beneficio, se estan confirmado las fechas con las entindades como ministerio de salud y protección social e Instituto Nacional de Salud. 
</t>
    </r>
    <r>
      <rPr>
        <b/>
        <sz val="8"/>
        <rFont val="Arial"/>
        <family val="2"/>
      </rPr>
      <t>5.6</t>
    </r>
    <r>
      <rPr>
        <sz val="8"/>
        <rFont val="Arial"/>
        <family val="2"/>
      </rPr>
      <t xml:space="preserve"> En el desarrollo de la tutoria se pudo verificar el avance lde proyecto de las actividades propuestas pendientes por realizar dentro de las diferentes fases del proyecto que permito establecer la finalizacion del mismo con un valor agregado en donde se construyo una matriz general en donde se incluyeron los diferentes programas de muestreo  tanto de verificación y monitoreo en donde se consigno toda la información recogida de los analisis realizados por los diferentes productos selecionados con las diferentes matrices de los analisis realizados a las muestras establecidas para cada producto seleccionado.
</t>
    </r>
    <r>
      <rPr>
        <b/>
        <sz val="8"/>
        <rFont val="Arial"/>
        <family val="2"/>
      </rPr>
      <t xml:space="preserve">El proyecto 5.7 se divide en los siguientes:
5.7.1 </t>
    </r>
    <r>
      <rPr>
        <sz val="8"/>
        <rFont val="Arial"/>
        <family val="2"/>
      </rPr>
      <t xml:space="preserve">Durante la ejecución del proyecto se han identificado 4 resultados de laboratorio no conformes por presencia de un microorganismo denominado pseudomona frente a lo cual se han enviado las directrices a la Dirección de Operaciones Sanitarias para realizar las acciones de intervención que consistente en la verificación en la fabrica de la existencia del lote y proceder a hacer la respectiva recogida del producto así como  las condiciones de buenas prácticas de manufactura y en caso de no encontrarlo en la fabrica realizar la trazabilidad y ubicar el sitio donde se esta comercializando y coordinar la recogida del producto. 
</t>
    </r>
    <r>
      <rPr>
        <b/>
        <sz val="8"/>
        <rFont val="Arial"/>
        <family val="2"/>
      </rPr>
      <t>5.7.2</t>
    </r>
    <r>
      <rPr>
        <sz val="8"/>
        <rFont val="Arial"/>
        <family val="2"/>
      </rPr>
      <t xml:space="preserve"> El proyecto avanza dentro de los tiempos establecidos sin embargo es necesario revisar las observaciones y recomendaciones hechas y así poder hacer una gestión efectiva del proyecto.
</t>
    </r>
    <r>
      <rPr>
        <b/>
        <sz val="8"/>
        <rFont val="Arial"/>
        <family val="2"/>
      </rPr>
      <t>5.7.3</t>
    </r>
    <r>
      <rPr>
        <sz val="8"/>
        <rFont val="Arial"/>
        <family val="2"/>
      </rPr>
      <t xml:space="preserve"> El proyecto se encuentra dentro de los tiempos establecidos sin embargo es necesario revisar las observaciones y  recomendaciones realizadas con el fin de hacer una gestión más efectiva del proyecto.
</t>
    </r>
    <r>
      <rPr>
        <b/>
        <sz val="8"/>
        <rFont val="Arial"/>
        <family val="2"/>
      </rPr>
      <t>5.7.4</t>
    </r>
    <r>
      <rPr>
        <sz val="8"/>
        <rFont val="Arial"/>
        <family val="2"/>
      </rPr>
      <t xml:space="preserve"> Durante la ejecución del proyecto se han identificado resultados rechazados por presencia de listeria monocytogenes frente a lo cual se e han enviado las directrices a la Dirección de Operaciones Sanitarias para realizar las acciones de intervención que consisten en la verificación en la fabrica de la existencia del lote y proceder a hacer la respectiva recogida del producto así como  las condiciones de buenas prácticas de manufactura, almacenamiento y temperatura del producto y en caso de no encontrarlo en la fabrica realizar la trazabilidad y ubicar el sitio donde se esta comercializando y coordinar la recogida del producto.
</t>
    </r>
    <r>
      <rPr>
        <b/>
        <sz val="8"/>
        <rFont val="Arial"/>
        <family val="2"/>
      </rPr>
      <t>5.7.5</t>
    </r>
    <r>
      <rPr>
        <sz val="8"/>
        <rFont val="Arial"/>
        <family val="2"/>
      </rPr>
      <t xml:space="preserve"> Durante la tutoría se evidencia ejecución en als actividades, en cuanto al avance de este es necesario tener en cuenta que los avances tecnicos de ejecución se evidenciaran durante la  tutoría de la presente vigencia, ya que se da cumplimiento  a las actividades de planeación del Proyecto.
</t>
    </r>
    <r>
      <rPr>
        <b/>
        <sz val="8"/>
        <rFont val="Arial"/>
        <family val="2"/>
      </rPr>
      <t xml:space="preserve">El proyecto 5.8 se divide en los siguientes:
5.8.1 </t>
    </r>
    <r>
      <rPr>
        <sz val="8"/>
        <rFont val="Arial"/>
        <family val="2"/>
      </rPr>
      <t xml:space="preserve">Como resultado del proyecto se han identificado 3 análisis de laboratorio no conformes por presencia de Listeria Monocytogenes sobre los cuales se han remitido las directrices de intervención a la Dirección de Operaciones Sanitarias que consisten e verificar si el producto esta en planta y realizar la trazabilidad para del mismo para proceder a su recogida. Se realizan recomendaciones a los fabricantes sobre las condiciones de almacenamiento y temperatura del producto en la fabrica.
</t>
    </r>
    <r>
      <rPr>
        <b/>
        <sz val="8"/>
        <rFont val="Arial"/>
        <family val="2"/>
      </rPr>
      <t>5.8.2</t>
    </r>
    <r>
      <rPr>
        <sz val="8"/>
        <rFont val="Arial"/>
        <family val="2"/>
      </rPr>
      <t xml:space="preserve"> Como resultado del avance del proyecto se ha empezado la construcción de la base de datos con la caracterización de la información obtenida.
</t>
    </r>
    <r>
      <rPr>
        <b/>
        <sz val="8"/>
        <rFont val="Arial"/>
        <family val="2"/>
      </rPr>
      <t>5.8.3</t>
    </r>
    <r>
      <rPr>
        <sz val="8"/>
        <rFont val="Arial"/>
        <family val="2"/>
      </rPr>
      <t xml:space="preserve"> Es necesario revisar y acoger las observaciones y recomendaciones entregadas de manera que se pueda efectuar de una manera más efectiva la gestión del proyecto
</t>
    </r>
    <r>
      <rPr>
        <b/>
        <sz val="8"/>
        <rFont val="Arial"/>
        <family val="2"/>
      </rPr>
      <t>5.8.4</t>
    </r>
    <r>
      <rPr>
        <sz val="8"/>
        <rFont val="Arial"/>
        <family val="2"/>
      </rPr>
      <t xml:space="preserve"> El proyecto se desarrolla dentro de los tiempos estbalecidos en el cronograma de trabajo.
</t>
    </r>
    <r>
      <rPr>
        <b/>
        <sz val="8"/>
        <rFont val="Arial"/>
        <family val="2"/>
      </rPr>
      <t xml:space="preserve">5.8.5 </t>
    </r>
    <r>
      <rPr>
        <sz val="8"/>
        <rFont val="Arial"/>
        <family val="2"/>
      </rPr>
      <t>El proyecto avanza dentro de los tiempos establecidos en el cronograma.</t>
    </r>
  </si>
  <si>
    <t>6.4 Verificación de nutrientes 2017</t>
  </si>
  <si>
    <t>Generar información que permita tener un diagnóstico respecto al aporte de micro y macro nutrientes desde alimentos que se comercializan o publicitan con benedicios nutricionales</t>
  </si>
  <si>
    <r>
      <rPr>
        <b/>
        <sz val="8"/>
        <rFont val="Arial"/>
        <family val="2"/>
      </rPr>
      <t>6.1</t>
    </r>
    <r>
      <rPr>
        <sz val="8"/>
        <rFont val="Arial"/>
        <family val="2"/>
      </rPr>
      <t xml:space="preserve"> Este proyecto tiene un retraso considerable. Recomendación: por ser un proyecto que vincula a una entidad externa como es el Ministerio de Salud y Protección Social y no ha sido posible concretar las actividades conjuntas se sugiere reformular la actividad .
</t>
    </r>
    <r>
      <rPr>
        <b/>
        <sz val="8"/>
        <rFont val="Arial"/>
        <family val="2"/>
      </rPr>
      <t xml:space="preserve">6.2 </t>
    </r>
    <r>
      <rPr>
        <sz val="8"/>
        <rFont val="Arial"/>
        <family val="2"/>
      </rPr>
      <t xml:space="preserve">Este proyecto continua con el mismo avance de ejecución 
</t>
    </r>
    <r>
      <rPr>
        <b/>
        <sz val="8"/>
        <rFont val="Arial"/>
        <family val="2"/>
      </rPr>
      <t xml:space="preserve">6.3 </t>
    </r>
    <r>
      <rPr>
        <sz val="8"/>
        <rFont val="Arial"/>
        <family val="2"/>
      </rPr>
      <t xml:space="preserve">Este proyecto continua con el mismo avance de ejecución y las demas actividades se desarrollaran en  a partir del segundo semestre </t>
    </r>
  </si>
  <si>
    <r>
      <rPr>
        <b/>
        <sz val="8"/>
        <rFont val="Arial"/>
        <family val="2"/>
      </rPr>
      <t>6.1</t>
    </r>
    <r>
      <rPr>
        <sz val="8"/>
        <rFont val="Arial"/>
        <family val="2"/>
      </rPr>
      <t xml:space="preserve"> Este proyecto tiene un retraso considerable. Recomendación: por ser un proyecto que vincula a una entidad externa como es el Ministerio de Salud y Protección Social y no ha sido posible concretar las actividades conjuntas se sugiere reformular la actividad .
</t>
    </r>
    <r>
      <rPr>
        <b/>
        <sz val="8"/>
        <rFont val="Arial"/>
        <family val="2"/>
      </rPr>
      <t>6.2</t>
    </r>
    <r>
      <rPr>
        <sz val="8"/>
        <rFont val="Arial"/>
        <family val="2"/>
      </rPr>
      <t xml:space="preserve"> Este proyecto continua con el mismo avance de ejecución 
</t>
    </r>
    <r>
      <rPr>
        <b/>
        <sz val="8"/>
        <rFont val="Arial"/>
        <family val="2"/>
      </rPr>
      <t xml:space="preserve">6.3 </t>
    </r>
    <r>
      <rPr>
        <sz val="8"/>
        <rFont val="Arial"/>
        <family val="2"/>
      </rPr>
      <t>Este proyecto continua con el mismo avance de ejecución y las demas actividades se desarrollaran en  a partir del segundo semestre</t>
    </r>
  </si>
  <si>
    <r>
      <rPr>
        <b/>
        <sz val="8"/>
        <rFont val="Arial"/>
        <family val="2"/>
      </rPr>
      <t xml:space="preserve">6.1 </t>
    </r>
    <r>
      <rPr>
        <sz val="8"/>
        <rFont val="Arial"/>
        <family val="2"/>
      </rPr>
      <t xml:space="preserve">Este proyecto se ejecuta en el 100%, teniendo en cuenta que se concluyen actividades de la fase de cierre las cuales se soportan en el informe final de la ejecución del plan, mediante el desarrollo de este plan se logra el diagnosticarla situación acerca del aporte de micro y macro-nutrientes en los alimentos que se comercializan o publicitan con beneficios nutricionales de Establecimientos procesadores de alimentos para los siguientes productos:  Grasas y aceites, alimentos que en su rotulo presentan etiquetado nutricional (jugos, refrescos, néctares, bebidas, derivados lácteos, cacao y sus derivados, caramelos, cereales para el desayuno, snacks, productos de panadería, pastas alimenticias, derivados cárnicos, contribuyendo a la protección de la salud de los consumidores de estos productos. 
</t>
    </r>
    <r>
      <rPr>
        <b/>
        <sz val="8"/>
        <rFont val="Arial"/>
        <family val="2"/>
      </rPr>
      <t>6.2</t>
    </r>
    <r>
      <rPr>
        <sz val="8"/>
        <rFont val="Arial"/>
        <family val="2"/>
      </rPr>
      <t xml:space="preserve"> Este proyecto se ejecuta en el 100%, teniendo en cuenta que se concluyen actividades de la fase de cierre las cuales se soportan en el informe final de la ejecución del plan, mediante el desarrollo de este plan se logra el diagnosticarla situación acerca del aporte de micro y macro-nutrientes en los alimentos que se comercializan o publicitan con beneficios nutricionales de Establecimientos procesadores de alimentos para los siguientes productos:  Grasas y aceites, alimentos que en su rotulo presentan etiquetado nutricional (jugos, refrescos, néctares, bebidas, derivados lácteos, cacao y sus derivados, caramelos, cereales para el desayuno, snacks, productos de panadería, pastas alimenticias, derivados cárnicos, contribuyendo a la protección de la salud de los consumidores de estos productos.
</t>
    </r>
    <r>
      <rPr>
        <b/>
        <sz val="8"/>
        <rFont val="Arial"/>
        <family val="2"/>
      </rPr>
      <t xml:space="preserve">6.3 </t>
    </r>
    <r>
      <rPr>
        <sz val="8"/>
        <rFont val="Arial"/>
        <family val="2"/>
      </rPr>
      <t xml:space="preserve">Lineamiento a GTTs se ejecuta en un 100% y se evidencia mediante lineamiento  publicado en el mapa de procesos.
Análisis de reportes analíticos presenta un avance y esta soportado en matriz de consolidación.
Presentación oficial de resultados, presenta avance el cual se evidencia con la presentación preliminar que se realiza al Ministerio de Salud y Protección Social.
</t>
    </r>
    <r>
      <rPr>
        <b/>
        <sz val="8"/>
        <rFont val="Arial"/>
        <family val="2"/>
      </rPr>
      <t>6.4</t>
    </r>
    <r>
      <rPr>
        <sz val="8"/>
        <rFont val="Arial"/>
        <family val="2"/>
      </rPr>
      <t xml:space="preserve"> Durante la tutoría se tiene un avance en la ejecución del 40%, en cuanto al avance de este es necesario tener en cuenta que los avances tecnicos de ejecución se evidenciaran durante la  tutoría de la presente vigencia, ya que se da cumplimiento  a las actividades de planeación del Proyecto y se presenta un avance en la fase de ejecución en cuanto a la toma de muestras, los resultados de estas muestras se podran observar para la cuarta tutoría.
</t>
    </r>
  </si>
  <si>
    <r>
      <rPr>
        <b/>
        <sz val="8"/>
        <rFont val="Arial"/>
        <family val="2"/>
      </rPr>
      <t xml:space="preserve">11.1 </t>
    </r>
    <r>
      <rPr>
        <sz val="8"/>
        <rFont val="Arial"/>
        <family val="2"/>
      </rPr>
      <t xml:space="preserve">El proyecto  sumple con la ejecución de sus actividades.
</t>
    </r>
    <r>
      <rPr>
        <b/>
        <sz val="8"/>
        <rFont val="Arial"/>
        <family val="2"/>
      </rPr>
      <t xml:space="preserve">11.2 </t>
    </r>
    <r>
      <rPr>
        <sz val="8"/>
        <rFont val="Arial"/>
        <family val="2"/>
      </rPr>
      <t xml:space="preserve">Teniendo en cuenta los inconvenientes presentados para la ejecución del proyecto se sugiere radicar control de cambios en el que se solicite suspensión parcial
</t>
    </r>
    <r>
      <rPr>
        <b/>
        <sz val="8"/>
        <rFont val="Arial"/>
        <family val="2"/>
      </rPr>
      <t>11.3</t>
    </r>
    <r>
      <rPr>
        <sz val="8"/>
        <rFont val="Arial"/>
        <family val="2"/>
      </rPr>
      <t xml:space="preserve"> * Se recibe informe final de auditoria de Israel y no otorgan equivalencia, se tiene plazo de 30 días para responder y reevaluar el concepto.
* Es importante reiterar que el evento de fiebre aftosa en Colombia frenó el avance en algunos de los procesos.
* Ecuador, reunión el 28 - 29 de septiembre de 2017 en donde Agrocalidad aprueba Anexo 1 (Aprobación de especie bovina para exportación), aclarando que se moverá hasta que se solucione el tema de estatus de Fiebre Aftosa.
* Informe con resultados de monitoreo de aprovechamiento de mercados.
</t>
    </r>
    <r>
      <rPr>
        <b/>
        <sz val="8"/>
        <rFont val="Arial"/>
        <family val="2"/>
      </rPr>
      <t>11.4</t>
    </r>
    <r>
      <rPr>
        <sz val="8"/>
        <rFont val="Arial"/>
        <family val="2"/>
      </rPr>
      <t xml:space="preserve">  * Nuevos acuerdos firmados entre México, Chile y Colombia.
* Cronograma aprobado de negociación para dispositivos médicos con inicio el 18-09-2017.
* Anexo de suplementos dietarios acordado, Reglas de procedimiento de grupo técnico, Conformación del grupo técnico Invima (Minsalud - Mincomercio - invima).
* Modificacion en firme de Decision 516.</t>
    </r>
  </si>
  <si>
    <r>
      <rPr>
        <b/>
        <sz val="8"/>
        <rFont val="Arial"/>
        <family val="2"/>
      </rPr>
      <t>12.4</t>
    </r>
    <r>
      <rPr>
        <sz val="8"/>
        <rFont val="Arial"/>
        <family val="2"/>
      </rPr>
      <t xml:space="preserve">  Para el tercer trimestre se han realizado los seguimientos respectivos a los procesos frente al cumplimiento del reporte de los indicadores, planes de mejoramiento, riesgos dentro del mapa de macroprocesos. Se han realizado capacitaciones en la norma ISO 9001:2015 Dirección de Alimentos y Bebidas, dirección de Operaciones Sanitarias, Oficina Asesora Jurídica, GTT Orinoquía, encuentro de puertos e induccione, se elaboró el estudio previo para la contratación del ICONTEC con el fin de realizar la auditoría de seguimiento a la certificación del Invima basada en los requisitos de la norma NTC GP1000:2009 y la actualización de la ISO 9001 a la versión 2015 y fue radicada en el grupo de Contractual. Se realizó la revisión por la Dirección del año 2017 presentando todas las entradas que tienen de requisito las normas del Sistema de Gestión Integrado en el comité coordinador de control interno. Se actualizó el manual del Sistema de Gestión Integrado, con todos los numerales del ISO 9001:2015. Se realizan visitas al puerto de Santa Marta, GTT Montería y Neiva con el fin de hacer la revisión de los procesos que se ejecutan en estas oficinas y verificar el cumplimiento de los requisitos de cada uno de ellos. Adicionalmente se cumplió el ciclo de auditorías 2017 obteniendo como resultado la conformidad, eficacia, eficiencia y conveniencia del Sistema de Gestión Integrado en el Invima.
</t>
    </r>
    <r>
      <rPr>
        <b/>
        <sz val="8"/>
        <rFont val="Arial"/>
        <family val="2"/>
      </rPr>
      <t>12.5</t>
    </r>
    <r>
      <rPr>
        <sz val="8"/>
        <rFont val="Arial"/>
        <family val="2"/>
      </rPr>
      <t xml:space="preserve">  La Oficina de atención al ciudadano en el trimestre de Junio a Septiembre realizó registratones en las ciudades de Armenia, Neiva, Medellín y Paipa, recibiendo un total de 159 trámites. En cuanto a la radicación de trámites de plantas de beneficio ya se encuentra implementado en la totalidad de GTT´s, en la ciudad de Medellín GTT Occidente 1, se empezará a recibir todo tipo de trámites a partir del miércoles 18 de Octubre. Se han realizado reuniones de unificación de criterios con las áreas misionales en temas tales como (Registros Automáticos, Manual tarifario), adicional se realizó reunión con la dirección de Dispositivos Médicos y Otras Tecnologías acerca del proyecto  Decreto Reactivos RUO(Research Use Only).</t>
    </r>
  </si>
  <si>
    <r>
      <rPr>
        <b/>
        <sz val="8"/>
        <rFont val="Arial"/>
        <family val="2"/>
      </rPr>
      <t xml:space="preserve">13.8 </t>
    </r>
    <r>
      <rPr>
        <sz val="8"/>
        <rFont val="Arial"/>
        <family val="2"/>
      </rPr>
      <t xml:space="preserve">El proyecto no tiene avance en el tercer trimestre de la vigencia.
</t>
    </r>
    <r>
      <rPr>
        <b/>
        <sz val="8"/>
        <rFont val="Arial"/>
        <family val="2"/>
      </rPr>
      <t xml:space="preserve">13.9 </t>
    </r>
    <r>
      <rPr>
        <sz val="8"/>
        <rFont val="Arial"/>
        <family val="2"/>
      </rPr>
      <t xml:space="preserve">Este proyecto ha cumplido con las fechas establecidas de la fase de planeación, la fase de ejecución se encuentra dentro de tiempo. Este proyecto es similar al proyecto "Fortalecer los mecanismos de prevención, investigación y sanción de la ilegalidad, contrabando y corrupción en el Invima", por tanto se esta trabajando en conjunto con el Grupo Unidad de Reacción Inmediata con el fin de obtener la viabilidad de las actividades planteadas inicialmente o en su defecto aunar esfuerzos y trabajar este proyecto por medio del convenio con la UNODC
</t>
    </r>
    <r>
      <rPr>
        <b/>
        <sz val="8"/>
        <rFont val="Arial"/>
        <family val="2"/>
      </rPr>
      <t>13.10</t>
    </r>
    <r>
      <rPr>
        <sz val="8"/>
        <rFont val="Arial"/>
        <family val="2"/>
      </rPr>
      <t xml:space="preserve"> Se realiza el contrato 389 de 2017 para la elaboración y desarrollo del normograma y respectiva publicación en página web. Se realiza la primera entrega con un diseño preliminar, motor de búsqueda y se procede a realizar la segunda entrega con las mejoras realizadas, en cuanto a precisión de búsqueda, diseño del normograma, detalle de las normas y clasificación de las mismas.
</t>
    </r>
    <r>
      <rPr>
        <b/>
        <sz val="8"/>
        <rFont val="Arial"/>
        <family val="2"/>
      </rPr>
      <t xml:space="preserve">13.11 </t>
    </r>
    <r>
      <rPr>
        <sz val="8"/>
        <rFont val="Arial"/>
        <family val="2"/>
      </rPr>
      <t xml:space="preserve"> El proyecto ha presentando avances de acuerdo al cronograma, sin embargo es necesario modificar algunas fechas en las actividades del mismo.
</t>
    </r>
    <r>
      <rPr>
        <b/>
        <sz val="8"/>
        <rFont val="Arial"/>
        <family val="2"/>
      </rPr>
      <t xml:space="preserve">13.12 </t>
    </r>
    <r>
      <rPr>
        <sz val="8"/>
        <rFont val="Arial"/>
        <family val="2"/>
      </rPr>
      <t>una vez realizado el seguimiento se evidencia un retraso en la ejecución del cronograma debido a la demora en la entrega  del Avaluo del inmueble por parte del IGAC, se espera que este documento se reciba por parte del Invima a mas tardar el 15 de noviembre en terminos generales el proyecto presenta avance cumpliendo con la fase de estudio de mercado y la fase de Avaluo.</t>
    </r>
  </si>
  <si>
    <t>14.5 Sistema de Información de los procesos sancionatorios</t>
  </si>
  <si>
    <r>
      <rPr>
        <b/>
        <sz val="8"/>
        <rFont val="Arial"/>
        <family val="2"/>
      </rPr>
      <t xml:space="preserve">14.5 </t>
    </r>
    <r>
      <rPr>
        <sz val="8"/>
        <rFont val="Arial"/>
        <family val="2"/>
      </rPr>
      <t>Durante el desarrollo de la tutoria se evidencia que este avance corresponde a la ejecución de actividades de la fase de planeación  que se requieren para poder definir un Sistema de información modelado que permita Identificar, ordenar, administrar y asegurar la información de las actividades transversales realizadas dentro de los procesos de Inspección, control sanitatrio, administración de cobro coactivo, gestión contable, gestión de tesoreria y control de calidad de productos del Instituto para la gestión del proceso sancionatorio, con el fin de brindar al usuario la información de manera mas rapida sobre el estado de sus procesos sancionatiorios.</t>
    </r>
  </si>
  <si>
    <t>14.6 Fortalecimiento de los Sistemas de Información</t>
  </si>
  <si>
    <t>14.7 Sistema de Información para los Laboratorios del Invima - Fase I</t>
  </si>
  <si>
    <t>14.8 Implementación de la Estrategia de Inteligencia de Negocios en la Entidad 2017</t>
  </si>
  <si>
    <t>14.9 Invima a un Click</t>
  </si>
  <si>
    <t>14.10 Fortalecimiento de la Infraestructura Tecnológica y de Comunicaciones del Instituto</t>
  </si>
  <si>
    <t>Estructurar un sistema de información para la gestión del proceso sancionatorio del Invima</t>
  </si>
  <si>
    <t>Incorporar nuevos sistemas de información así como mejorar y optimizar otras funcionalidades sobre los sistemas de información existentes.</t>
  </si>
  <si>
    <t>Instalar una solución tecnológica que soporte la funcionalidad de los laboratorios del Invima</t>
  </si>
  <si>
    <t>Diseñar e Implementar  un modelo tabular a partir de las bases de datos de los sistemas de registros sanitarios y sivicos del instituto, para auto gestionar la creación de los reportes de las direcciones misionales y Oficinas del Invima.</t>
  </si>
  <si>
    <t>Diseñar, desarrollar e implementar una herramienta integral de los procesos diseñados para cada uno de los trámites contemplados en: comisión revisora, alimentos, cosméticos, medicamentos biológicos y dispositivos médicos en la herramienta BPM del Invima, para la radicación en línea (via web) de las solictudes de los usuarios</t>
  </si>
  <si>
    <t>Adquirir, fortalecer, renovar la infraestructura tecnológica y/o licenciamiento necesario, así como gestionar las tecnologías de la Información y las comunicaciones a través del Grupo de Soporte Tecnológico del Invima.</t>
  </si>
  <si>
    <t>Los proyectos se encuentran en estado de reformulación.</t>
  </si>
  <si>
    <r>
      <rPr>
        <b/>
        <sz val="8"/>
        <rFont val="Arial"/>
        <family val="2"/>
      </rPr>
      <t xml:space="preserve">16.5 </t>
    </r>
    <r>
      <rPr>
        <sz val="8"/>
        <rFont val="Arial"/>
        <family val="2"/>
      </rPr>
      <t xml:space="preserve">Se realizó traslado de recursos al fondo de Administración INVIMA-ICETEX por valor de $10,000,000.  A la fecha todas las solicitudes presentadas para acceso a los programas de educación formal han sido revisadas, consolidadas, presentadas a la comisión de personal y aprobadas.
</t>
    </r>
    <r>
      <rPr>
        <b/>
        <sz val="8"/>
        <rFont val="Arial"/>
        <family val="2"/>
      </rPr>
      <t>16.6</t>
    </r>
    <r>
      <rPr>
        <sz val="8"/>
        <rFont val="Arial"/>
        <family val="2"/>
      </rPr>
      <t xml:space="preserve"> En el seguimiento al proceso pre-contractual se han hecho los siguientes contratos:
-Univesidad de Antioquia:  contrato 426 de Agosto 16
-Universidad Nacional:   contrato 503 de Octubre 04
-INS:  contrato 252 de Mayo 12
-Gestión Total:  contrato 481 de Septiembre 26</t>
    </r>
  </si>
  <si>
    <r>
      <rPr>
        <b/>
        <sz val="8"/>
        <rFont val="Arial"/>
        <family val="2"/>
      </rPr>
      <t xml:space="preserve">17.3 </t>
    </r>
    <r>
      <rPr>
        <sz val="8"/>
        <rFont val="Arial"/>
        <family val="2"/>
      </rPr>
      <t>Se evidencia Actas No. 2 a la 6 donde se evidencia el avance del desarrollo del objeto contractual: Prestación de Servicios para el fortalecimiento del proceso de control de calidad de dispositivos médicos con enfoque de riesgo para prótesis mamarias y sondas competencia del Laboratorio Físico-Mecánico de Dispositivos Médicos y Otras Tecnologías correspondiente al contrato interadministrativo No. 305 de 2017, donde a la fecha se culmino la etapa de diagnóstico, la cual corresponde a levantamiento de información de acuerdo a lo indicado en el contrato y cronograma. Se encuentra en proceso de implementación la etapa de metodología de investigación, donde se encuentra establecido como opciones ensayos de Prótesis Mamarias Resistencia al impacto y en cuanto a sondas ensayo jalado para balón inflado, donde se cuenta con los diseños de los equipos e instrumentos para realizar los ensayos seleccionados para la verificación de la calidad por cada dispositivo médico de prótesis mamarias y sondas. Actualmente, están en el proceso de montaje de los equipos, prototipos e instrumentos para la realización de los ensayos y posterior realización de ensayos preliminares o piloto en la Universidad de Antioquia y después en las instalaciones del Invima.</t>
    </r>
  </si>
  <si>
    <r>
      <rPr>
        <b/>
        <sz val="8"/>
        <rFont val="Arial"/>
        <family val="2"/>
      </rPr>
      <t xml:space="preserve">7.4 </t>
    </r>
    <r>
      <rPr>
        <sz val="8"/>
        <rFont val="Arial"/>
        <family val="2"/>
      </rPr>
      <t xml:space="preserve">Hortofrutícolas: Para productos hortofruticolas se presentan excedencias en palguicidas y metales pesados y se remite la información al ICA para medidas de intervención entre las que se encuentra la capacitación a productores en uso de plaguicidas junto con las empresas importadoras de estos productos y en lo referente a metales pesados se esta realizando la consolidación de la información a remitir al ICA.
Cadmio en cacao: El proyecto se ejecuta dentro de los tiempos establecidos en el cronograma que fue ajustado mediante control de cambios. Por ser un plan de levantamiento de información se ha incluido y consolido la información de los años anteriores la cual fue remitida al Comité del Codex de contaminantes químicos en donde servirá como insumo para análisis y definición de límites máximos en este producto.
</t>
    </r>
    <r>
      <rPr>
        <b/>
        <sz val="8"/>
        <rFont val="Arial"/>
        <family val="2"/>
      </rPr>
      <t>7.5</t>
    </r>
    <r>
      <rPr>
        <sz val="8"/>
        <rFont val="Arial"/>
        <family val="2"/>
      </rPr>
      <t xml:space="preserve"> LECHE CRUDA:  No se presentan avances
BOVINOS: El proyecto avanza de acuerdo a las nuevas fechas establecidas despúes de la aprobación del control de cambios por parte del Comité tripartita el día Miercoles 11 de Octubre
PORCINOS: El proyecto avanza de acuerdo a las nuevas fechas establecidas despúes de la aprobación del control de cambios por parte del Comité tripartita el día Miercoles 11 de Octubre
AVES: El proyecto avanza de acuerdo a las nuevas fechas establecidas despúes de la aprobación del control de cambios por parte del Comité tripartita el día Miercoles 11 de Octubre
</t>
    </r>
    <r>
      <rPr>
        <b/>
        <sz val="8"/>
        <rFont val="Arial"/>
        <family val="2"/>
      </rPr>
      <t xml:space="preserve">7.6 </t>
    </r>
    <r>
      <rPr>
        <sz val="8"/>
        <rFont val="Arial"/>
        <family val="2"/>
      </rPr>
      <t xml:space="preserve">La terminación del proyecto depende de la revisión que esta realizando el Director General quien definirá los mecanismos y tiempos para divulgación y publicación de resultados.
</t>
    </r>
    <r>
      <rPr>
        <b/>
        <sz val="8"/>
        <rFont val="Arial"/>
        <family val="2"/>
      </rPr>
      <t xml:space="preserve">7.7 </t>
    </r>
    <r>
      <rPr>
        <sz val="8"/>
        <rFont val="Arial"/>
        <family val="2"/>
      </rPr>
      <t>DULCEACUICOLA:</t>
    </r>
    <r>
      <rPr>
        <b/>
        <sz val="8"/>
        <rFont val="Arial"/>
        <family val="2"/>
      </rPr>
      <t xml:space="preserve"> </t>
    </r>
    <r>
      <rPr>
        <sz val="8"/>
        <rFont val="Arial"/>
        <family val="2"/>
      </rPr>
      <t xml:space="preserve">El proyecto presenta retrasos en la etapa de divulgación de resultados. No se ajusta el cronograma hasta que sea definido el mecanismo y fechas de divulgación de resultados por parte del Director General.
ATÚN EN CONSERVA:  El proyecto esta a la espera de los lineamientos y observaciones por parte de los actores involucrados para su divulgación 
</t>
    </r>
    <r>
      <rPr>
        <b/>
        <sz val="8"/>
        <rFont val="Arial"/>
        <family val="2"/>
      </rPr>
      <t xml:space="preserve">7.8  </t>
    </r>
    <r>
      <rPr>
        <sz val="8"/>
        <rFont val="Arial"/>
        <family val="2"/>
      </rPr>
      <t xml:space="preserve">METILMERCURIO: El proyecto cumplió con las fechas establecidas en el cronogrma de trabajo sin embargo la fase de cierre dependen de la revisión que realice la Dirección General actividad que esta en proceso.
</t>
    </r>
    <r>
      <rPr>
        <b/>
        <sz val="8"/>
        <rFont val="Arial"/>
        <family val="2"/>
      </rPr>
      <t xml:space="preserve">7.9  </t>
    </r>
    <r>
      <rPr>
        <sz val="8"/>
        <rFont val="Arial"/>
        <family val="2"/>
      </rPr>
      <t xml:space="preserve">El proyecto se ejecuta de acuerdo a las fechas establecidas en el cronograma de trabajo.
</t>
    </r>
    <r>
      <rPr>
        <b/>
        <sz val="8"/>
        <rFont val="Arial"/>
        <family val="2"/>
      </rPr>
      <t xml:space="preserve">7.10 </t>
    </r>
    <r>
      <rPr>
        <sz val="8"/>
        <rFont val="Arial"/>
        <family val="2"/>
      </rPr>
      <t xml:space="preserve">El proyecto cumplió con las fechas establecidas en el cronogrma de trabajo sin embargo la fase de cierre dependen de la revisión que realice la Dirección General actividad que esta en proceso.
</t>
    </r>
    <r>
      <rPr>
        <b/>
        <sz val="8"/>
        <rFont val="Arial"/>
        <family val="2"/>
      </rPr>
      <t>7.11</t>
    </r>
    <r>
      <rPr>
        <sz val="8"/>
        <rFont val="Arial"/>
        <family val="2"/>
      </rPr>
      <t xml:space="preserve">  El proyecto esta a la espera de la aprobación de la propuesta con los mecanismos de divulgación remitidos a la Dirección General
</t>
    </r>
    <r>
      <rPr>
        <b/>
        <sz val="8"/>
        <rFont val="Arial"/>
        <family val="2"/>
      </rPr>
      <t xml:space="preserve">7.12 </t>
    </r>
    <r>
      <rPr>
        <sz val="8"/>
        <rFont val="Arial"/>
        <family val="2"/>
      </rPr>
      <t xml:space="preserve"> OGM ROTULADO: Proyecto finalizado y aprobado para publicación 
</t>
    </r>
    <r>
      <rPr>
        <b/>
        <sz val="8"/>
        <rFont val="Arial"/>
        <family val="2"/>
      </rPr>
      <t xml:space="preserve">7.14 </t>
    </r>
    <r>
      <rPr>
        <sz val="8"/>
        <rFont val="Arial"/>
        <family val="2"/>
      </rPr>
      <t>ACUICULTURA: El proyecto avanza de acuerdo a lo establecido en el cronograma de trabajo sin embargo se identifican ciertas actividades que pueden presentar retrasos por lo que es necesario una efectiva gestión de las mismas.
ATÚN EN CONSERVA: El proyecto avanza dentro de los tiempos establecidos en el cronograma de trabajo. Resultado de la toma de muestras efectuada se han identificado resultados no conformes los cuales presentan excendencias de los niveles permitidos para el producto, una vez verificados los lotes se encuentra que son productos fabricados antes que el Invima determinara los nuevos lineamientos por lo que se han realizado las medidas de intervención que consistierón en solicitar al distribuidor la recogida del producto de los lotes implicados y la emisión de alertas y visitas al establecimiento fabricante donde severificó que no se tienen unidades de dichos lotes.
7.15  HORTOFRUTICOLAS: El proyecto avanza de acuerdo a lo establecido en el cronograma sin embargo se presentan algunos retrasos que no estan impactando significativamente el cronograma del mismo, es necesario revisar las observaciones y recomendaciones para poder tomar acciones que permitan el cumplimiento de las actividades por realizar. 
MICOTOXINAS La ejecución del proyecto ha dado como resultado la identificación de resultados no conformes por superar el límite máximo de aflatoxinas en maíz por lo que se realizó el decomiso y destrucción del producto. Se realizarón reuniones cojuntas con el ICA y teniendo en cuenta los resultados obtenidos se establecerá una mesa fitosanitaria con agrónomos, fenalce ( Federación Nacional de Cultivadores de Cereales y Leguminosas), ICA y representantes de agricultores de Córdoba para abordar el tema y definir las intervenciones a realizar en toda la cadena productiva del maíz.
ARROZ El proyecto avanza dentro de los tiempos establecidos en el cronograma de trabajo sin embargo es necesario revisar las observaciones y recomendaciones dadas para cada fase con el fin de lograr una mejor gestión del mismo.
EVENTOS NO APROBADOS: El proyecto avanza dentro de los tiempos establecidos en el cronograma de trabajo sin embargo es necesario revisar las observaciones y recomendaciones dadas para cada fase con el fin de lograr una mejor gestión del mismo.
ROTULADO El proyecto se desarrolla dentro de los tiempos establecidos en el cronograma. Los resultados obtenidos para este trimestre se resumen en 9 resultados no conformes: 5 para bebidas de leche de soya, 1 para pan, 1 para hamburguesas y 2 para snacks frente a lo cual se ha remitido comunicación oficial al grupo de vigilancia epidemiológica el 18 de Septiembre con la propuesta de aplicación de medidas para congelación y/o suspensión temporal del producto y en caso de no estar disponible realizar una nueva toma de muestras.
OGM ORGANICOS El proyecto se desarrolla dentro de los tiempos establecidos en el cronograma. Los resultados obtenidos para este trimestre se resumen en 3 resultados no conformes: 1 para bebidas de leche de soya, 1 Quinua, 1 para semillas de chia, frente a lo cual se ha remitido comunicación oficial al grupo de vigilancia epidemiológica el 18 de Septiembre con la propuesta de aplicación de medidas para congelación y/o suspensión temporal del producto y en caso de no estar disponible realizar una nueva toma de muestras.
7.16 BOVINOS El proyecto avanza dentro de los tiempos establecidos en el cronograma de trabajo sin embargo es necesario revisar las observaciones y recomendaciones como mecanismo de ayuda para una mejor gestión del proyecto
PORCINOS El proyecto se ejecuta dentro de los tiempos establecidos en el cronograma de tabajo. Como resultado de la gestión se ha socializado la información de los planes anteriores con PorkColombia con el fin de implementar planes de acción de acuerdo a los hallazgos y de esta manera verificar con el nuevo plan si se siguen presentando resultados no conformes y corregir los planes que ya se han establecido.
El invima esta trabajando con el DNP para establecer un plan de aprovechamiento de adminisibiliadad sanitaria que será  presentado ante la Comisión de Medidas Sanitarias y Fitosanitarias (MSF)  antes de finalizar el año con el fin conseguir que se pueda asignar recursos por 10 años.
AVES El proyecto avanza dentro de los tiempos establecidos es necesario revisar las recomendaciones y observaciones realizadas las cuales son mecanismos que pueden ayudar a una optima gestión de proyectos.
HUEVO El proyecto avanza dentro de los tiempos establecidos es necesario revisar las recomendaciones y observaciones realizadas las cuales son mecanismos que pueden ayudar a una optima gestión de proyectos.
LECHE CRUDA El proyecto avanza dentro de los tiempos establecidos
POLLO IMPORTADO El proyecto avanza dentro de los tiempos establecidos en el cronograma de trabajo.</t>
    </r>
  </si>
  <si>
    <r>
      <rPr>
        <b/>
        <sz val="8"/>
        <rFont val="Arial"/>
        <family val="2"/>
      </rPr>
      <t>1.15</t>
    </r>
    <r>
      <rPr>
        <sz val="8"/>
        <rFont val="Arial"/>
        <family val="2"/>
      </rPr>
      <t xml:space="preserve"> Durante el desarrollo de la tutoria se evidencia que hasta la fecha se han aplicado en los dos ciclos los modulos de aprendizaje: Tecnovigilancia, FOREIA, protocolo de Londres y AMFE, como resultado de esta aplicación se encuentran participando 199 usuarios que corresponden a Prestadores de Servicios de Salud, Secretarias de Salud, Importadores y Fabricantes de los siguientes  Departamentos: Antioquia, Atlántico, Bogotá, Bolivar, Boyacá, Casanare, Cauca, Cesar, Chocó, Quindío, Risaralda, Santander, Tolima y Valle del Cauca, con lo cual se ha Fortalecido el proceso de capacitación y asistencia técnica a través de la Plataforma Aula Virtual Invima  mediante la metodología de enseñanza/aprendizaje e-learning y b-learning,
</t>
    </r>
    <r>
      <rPr>
        <b/>
        <sz val="8"/>
        <rFont val="Arial"/>
        <family val="2"/>
      </rPr>
      <t>1.16</t>
    </r>
    <r>
      <rPr>
        <sz val="8"/>
        <rFont val="Arial"/>
        <family val="2"/>
      </rPr>
      <t xml:space="preserve"> Se evidencia el cumplimiento oportuno de las actividades que se tienen definidas en el cronograma, producto de estas actividades en las cuales se contemplo la elaboración de un plan de trabajo, material de apoyo, selección e invitaciones a participantes que soporten el desarrollo de las jornadas de asistencia tecnica programadas, de las cuales 8 se realizaron en las siguientes ciudades del país: Popayán, Duitama, Cúcuta, Cali, Bogotá y Facatativá en donde (4) fueron dirigida a la Implementación de la  Vigilancia Proactiva Metodología AMFE y (4) Seguimiento a las IPS que han realizado la Implementación de la Vigilancia Proactiva Metodología AMFE, sensibilizando a 56 profesionales. Con estas asistencias técnicas se busca que las  instituciones prestadoras de servicios de salud logren implementar y fortalecer los sistemas de gestión de riesgo clinico con enfoque preventivo aplicado al análisis y gestión de eventos e incidentes adversos relacionados con reactivos de diagnostico in vitro.
</t>
    </r>
    <r>
      <rPr>
        <b/>
        <sz val="8"/>
        <rFont val="Arial"/>
        <family val="2"/>
      </rPr>
      <t>1.17</t>
    </r>
    <r>
      <rPr>
        <sz val="8"/>
        <rFont val="Arial"/>
        <family val="2"/>
      </rPr>
      <t xml:space="preserve"> Para el tercer trimestre del año se han realizado las actividades planeadas en el cronograma asi:
</t>
    </r>
    <r>
      <rPr>
        <b/>
        <sz val="8"/>
        <rFont val="Arial"/>
        <family val="2"/>
      </rPr>
      <t>Registratones</t>
    </r>
    <r>
      <rPr>
        <sz val="8"/>
        <rFont val="Arial"/>
        <family val="2"/>
      </rPr>
      <t xml:space="preserve">: Eje Cafetero (Armenia) con una participación de 20  personas , Neiva: 40 personas , Medellín: 27 Personas  y Paipa: 20 personas . ,  a los cuales se les socializó información relacionada con los procesos sancionatorios con énfasis cuando se incurren en el incumplimiento de las normas. Adicionalmente se hizo entrega del material informativo (volantes).
</t>
    </r>
    <r>
      <rPr>
        <b/>
        <sz val="8"/>
        <rFont val="Arial"/>
        <family val="2"/>
      </rPr>
      <t>Asistencias técnicas:</t>
    </r>
    <r>
      <rPr>
        <sz val="8"/>
        <rFont val="Arial"/>
        <family val="2"/>
      </rPr>
      <t xml:space="preserve"> Manizales: con una participación de 35 personas, Medellín : 40 personas,  Cali: 90 personas, Barraquilla: 60 personas  . Donde se socializó todo lo relacionado al proceso sancionatorio: Normatividad de alimentos y sus correspondientes procedimientos y términos.
</t>
    </r>
    <r>
      <rPr>
        <b/>
        <sz val="8"/>
        <rFont val="Arial"/>
        <family val="2"/>
      </rPr>
      <t>1.18</t>
    </r>
    <r>
      <rPr>
        <sz val="8"/>
        <rFont val="Arial"/>
        <family val="2"/>
      </rPr>
      <t xml:space="preserve"> En la realización de la tutoria se pudo verificar que el material de consulta fue aprobado y enviado a Escuela Judicial Lara Bonilla quedando pendiente su publicación.
</t>
    </r>
    <r>
      <rPr>
        <b/>
        <sz val="8"/>
        <rFont val="Arial"/>
        <family val="2"/>
      </rPr>
      <t xml:space="preserve">1.19 </t>
    </r>
    <r>
      <rPr>
        <sz val="8"/>
        <rFont val="Arial"/>
        <family val="2"/>
      </rPr>
      <t>Dentro de la tutoria realizada se pudo evidenciar que en la realización de producciones y pautas de mensajes se han realizado un total de (5) videos en campañas de educación Sanitaria  y se espera realizar  el 29 de noviembre realizar una campaña para un total de (6).
De otra parte se ha realizado un boletin de educación sanitaria asociada al autocuidado en el uso productos de competencia del Invima
La oficina de Comunicaciones ha realizado un total de (4) visitas en acompañamiento a personas invitadas sirviendo como guias a los Laboratorios del Invima.</t>
    </r>
  </si>
  <si>
    <r>
      <rPr>
        <b/>
        <sz val="8"/>
        <rFont val="Arial"/>
        <family val="2"/>
      </rPr>
      <t>10.8</t>
    </r>
    <r>
      <rPr>
        <sz val="8"/>
        <rFont val="Arial"/>
        <family val="2"/>
      </rPr>
      <t xml:space="preserve"> En la ejecución de visitas a servicios transfusionales se realizaron 159 visitas de las 150 programadas inicialmente, distribuidas asi:
-Meta: 7,  -Arauca: 2, -Córdoba: 15,  -Caldas: 9, -Nariño: 2, -Sucre: 6, -Quindío: 5, -Chocó: 5 -Antioquia: 30,  -Risaralda: 9, -Valle: 23,  -Guajira: 9, -Santander: 9, -Vichada: 1, -Nte Stder: 1, -Atlántico: 7, -Huila: 9,  -Casanare: 3, -Bolivar: 6,  -Guaviare: 1. Se hizo verificación de requerimientos de visitas 2016 en las ciudades seleccionadas( Barranquila, Neiva, Bucaramanga y Armenia), pero los servicios transfusionales visitados no cumplieron con estos requerimientos. Se va a capacitar a los entes territoriales (Secretarias de Salud) para que estos a su vez reproduzcan la información en los servicios transfusionales y de ésta forma se pueda dar cumplimiento a los requerimientos mencionados.
</t>
    </r>
    <r>
      <rPr>
        <b/>
        <sz val="8"/>
        <rFont val="Arial"/>
        <family val="2"/>
      </rPr>
      <t>10.9</t>
    </r>
    <r>
      <rPr>
        <sz val="8"/>
        <rFont val="Arial"/>
        <family val="2"/>
      </rPr>
      <t xml:space="preserve"> El proyecto presenta una ejecución del 30%, lo anterior teniendo en cuenta que se da cumplimiento en un 100% a la fase de diagnostico y se avanza en el desarrollo de actividades de la fase de ejecución y cierre, con este proyecto se busca la definición de   una metodología  de Evaluación Técnica de los catereres angioplasticos en el Grupo de Registros Sanitarios de la Dirección de Dispositivos Médicos  y Otras Tecnologías, mediante la cual se fortalezca la capacidad técnica y científica de los expertos evaluadores de los dispositivos médicos del Grupo de Registros Sanitarios de la Dirección de Dispositivos Médicos y Otras Tecnologías garantizando la calidad, seguridad y desempeño con criterios estandarizados.
</t>
    </r>
    <r>
      <rPr>
        <b/>
        <sz val="8"/>
        <rFont val="Arial"/>
        <family val="2"/>
      </rPr>
      <t>10.10</t>
    </r>
    <r>
      <rPr>
        <sz val="8"/>
        <rFont val="Arial"/>
        <family val="2"/>
      </rPr>
      <t xml:space="preserve"> El proyecto presenta una ejecución del 83%, lo anterior teniendo en cuenta que se da cumplimiento en un 100% a la fase de diagnostico y se avanza en el desarrollo de actividades de la fase de ejecución y cierre, con este proyecto se busca la definición de una metodología estandarizada para la evaluación técnica y sanitaria en materia de expedición de registros sanitarios para los materiales de osteosintesis., mediante la cual se busca fortalecer la capacidad técnica y científica de de los expertos evaluadores de los dispositivos médicos del Grupo Técnico y de Registros Sanitarios de la Dirección de Dispositivos Médicos y Otras Tecnologías garantizando la calidad, seguridad y desempeño del material de osteosintesis enfocado a la seguridad del paciente.
</t>
    </r>
    <r>
      <rPr>
        <b/>
        <sz val="8"/>
        <rFont val="Arial"/>
        <family val="2"/>
      </rPr>
      <t xml:space="preserve">10.11 </t>
    </r>
    <r>
      <rPr>
        <sz val="8"/>
        <rFont val="Arial"/>
        <family val="2"/>
      </rPr>
      <t xml:space="preserve">* Versión final de manuales técnico y de usuario.
* Se realizaron capacitacines en diferentes espacios a funcionarios del Invima por parte de la Unidad de Riesgo e ingenieros programadores.
* Teniendo en cuenta los nuevos ajustes requeridos a Civicos Móvil e inclusión de productos de bajo riesgo que ocasionan retrasos en ejecución de actividades programadas, se sugiere radicar control de cambios ajustando actividades y fechas de ejecución, ademas del alcance del mismo (2 puertos listos a Diciembre Buenaventura y Bogotá).
</t>
    </r>
    <r>
      <rPr>
        <b/>
        <sz val="8"/>
        <rFont val="Arial"/>
        <family val="2"/>
      </rPr>
      <t>10.12</t>
    </r>
    <r>
      <rPr>
        <sz val="8"/>
        <rFont val="Arial"/>
        <family val="2"/>
      </rPr>
      <t xml:space="preserve">  * El contratista hace entrega del documento con los requerimientos para el reporte de información de buenas prácticas clínicas.
* Según lo acordado con el Jefe de la Oficina de Tecnologías de la Información el proyecto se abordará mediante CIVICOS.
* Teniendo en cuenta que el proyecto se desarrollará mediante CIVICOS se solicita radicar control de cambios en el que ajusten actividades y/o fechas de ejecución, asi como indicar el nuevo alcance del mismo.
</t>
    </r>
    <r>
      <rPr>
        <b/>
        <sz val="8"/>
        <rFont val="Arial"/>
        <family val="2"/>
      </rPr>
      <t>10.13</t>
    </r>
    <r>
      <rPr>
        <sz val="8"/>
        <rFont val="Arial"/>
        <family val="2"/>
      </rPr>
      <t xml:space="preserve">  * El Grupo de la Unidad de Riesgo cuenta con los datos - resultados consolidados de investigaciones clínicas (centros de investigación con calificación de riesgo de IVC-SOA),  y se encuentra en la elaboración del informe trimestral.
</t>
    </r>
    <r>
      <rPr>
        <b/>
        <sz val="8"/>
        <rFont val="Arial"/>
        <family val="2"/>
      </rPr>
      <t>10.14</t>
    </r>
    <r>
      <rPr>
        <sz val="8"/>
        <rFont val="Arial"/>
        <family val="2"/>
      </rPr>
      <t xml:space="preserve">  * Prueba piloto al software.
* Se ha adelantado en cuanto al diseño y depuración de guías para posterior cargue.
* Se sugiera radicar control de cambios en que se ajusten actividades y/o fechas de ejecución del proyecto, teniendo en cuanta que algunas actividades no presentan la ejecución programada.
</t>
    </r>
    <r>
      <rPr>
        <b/>
        <sz val="8"/>
        <rFont val="Arial"/>
        <family val="2"/>
      </rPr>
      <t>10.15</t>
    </r>
    <r>
      <rPr>
        <sz val="8"/>
        <rFont val="Arial"/>
        <family val="2"/>
      </rPr>
      <t xml:space="preserve">  Se presenta propuesta a los miembros del Comité con plan de trabajo desde la mesa técnica de la ciruclar 046 de 2016.
Se evidencia matriz con variables que contiene asunto, preguntas, responsables identificados  y las variables que se hicieron con las auditorias a ETS.
Respecto a la elaboración de las actividades definidas en el plan de trabajo (dependencias involucradas), se observa matriz de la Dirección de Alimentos con la información respectiva. 
Inicialmente se  seleccionaron tres destinos (Ecuador-Uruguay-España) en cuanto a visitas internacionales para conocer modelos de sistemas de inspección, vigilancia y control sanitario de alimentos de terceros paises que incidan en la definición de lineas de acción de los cuales ya se visitó Ecuador del 17 al 21 de Julio, se evidencia informe de la visita, España programada para realizar la visita del 06 al 10 de Noviembre de 2017.
Uruguay se reemplaza por Argentina toda vez que realizada videoconferencia entre Directora del Departamento de Alimentos del Ministerio de Salud de este pais  y funcionarios del Invima el 27-06-2017 se determina que el sistema de Inspección de Alimentos y bebidas que ellos manejan no es lo suficientemente robusto para tomarlo como modelo en la Inspección, vigilancia y control sanitario.
</t>
    </r>
    <r>
      <rPr>
        <b/>
        <sz val="8"/>
        <rFont val="Arial"/>
        <family val="2"/>
      </rPr>
      <t>10.16</t>
    </r>
    <r>
      <rPr>
        <sz val="8"/>
        <rFont val="Arial"/>
        <family val="2"/>
      </rPr>
      <t xml:space="preserve"> Se diseño la campaña publicitaria por parte de la Dirección de Alimentos para implementar estrategias IEC, se envío al Grupo de Comunicaciones para los ajustes correspondientes y posteriormente someterla a la aprobación  de los gremios para proceder a la socialización de la versión final en simultánea en todos los almacenes de grandes superficies del país.
Se realizaron 28 capacitaciones  a las autoridades competentes en cuanto implementar estrategias ventas ambulantes de alimentos y bebidas. Se han realizado 11 asistencias técnicas de las 15 programadas para fortalecimiento a ETS y vigilados. Diecinueve (19) ETS se han auditado en el transcurso del año.
</t>
    </r>
    <r>
      <rPr>
        <b/>
        <sz val="8"/>
        <rFont val="Arial"/>
        <family val="2"/>
      </rPr>
      <t>10.17</t>
    </r>
    <r>
      <rPr>
        <sz val="8"/>
        <rFont val="Arial"/>
        <family val="2"/>
      </rPr>
      <t xml:space="preserve"> Se firmó  convenio con el Ejécito Nacional en Septiembre 5, desarrollo de los diagnósticos y convenios ( posconflicto indígenas y campesinos)
Convenio firmado entre Invima y Naciones Unidas en Junio 5 de 2017.  
El  5 de junio se estableció el cronograma de actividades MDE UNODC-INVIMA ejecución población (beneficiarios postconflicto bajo el convenio naciones unidas-autorizaciones de comercialización.
Se diseño el plan de intervención (Entidades Postconflcito) soportado en los planes  individuales definidos para Buenaventura, Córdoba, Guaviare  y Caquetá.
En fortalecimiento a entidades (entidades postconflicto), capacitaciones y revisión de diseño de planos en Arauca,Caquetá,Guaviare.
En fortalecimiento a establecimientos (postconflicto indígenas y campesinos), veintiún (21) actividades a intervenir de las cuales once (11) ya se realizaron.Eventos en que se participa:
*Rueda de negocios
*Actividades visita y capacitación
*Actividades asistencia técnica 
Para el diseño  de documentos y guías ( postconflicto indígenas y campesinos), Se cuenta  una cartilla y tres proyectos:
1-Programa contol de Proveedores 
2-Limpieza y desinfección
3-Abastecimiento de agua. Todos estos documentos se encuentran listos para revisión. 
</t>
    </r>
    <r>
      <rPr>
        <b/>
        <sz val="8"/>
        <rFont val="Arial"/>
        <family val="2"/>
      </rPr>
      <t>10.18</t>
    </r>
    <r>
      <rPr>
        <sz val="8"/>
        <rFont val="Arial"/>
        <family val="2"/>
      </rPr>
      <t xml:space="preserve"> A septiembre se han realizado por parte del contratista la entrega de siete (7) piezas publicitarias de las trece (13) contratadas.
Se  realizó reporte bimensual a la Dirección General del monitoreo de medios correspondiente a los meses de junio-julio.
Acciones de sensibilización a ETS de Magdalena y Guainia y GTTs programada para Octubre 20.
</t>
    </r>
    <r>
      <rPr>
        <b/>
        <sz val="8"/>
        <rFont val="Arial"/>
        <family val="2"/>
      </rPr>
      <t>10.19</t>
    </r>
    <r>
      <rPr>
        <sz val="8"/>
        <rFont val="Arial"/>
        <family val="2"/>
      </rPr>
      <t xml:space="preserve"> Para la actividad Realizar trabajo de campo para la evaluación de la calidad, seguridad, eficacia y gestión del riesgo de los medicamentos comercializados y/o utilizados en Colombia, se evidencia copia de las resoluciones de las comiisones de visitas a los Laboratorios: cinco (5) nacionales y actas de visitas que reposan en la coordinación  del grupo de Registros Sanitarios.
</t>
    </r>
    <r>
      <rPr>
        <b/>
        <sz val="8"/>
        <rFont val="Arial"/>
        <family val="2"/>
      </rPr>
      <t>10.20</t>
    </r>
    <r>
      <rPr>
        <sz val="8"/>
        <rFont val="Arial"/>
        <family val="2"/>
      </rPr>
      <t xml:space="preserve"> El proyecto se ejecuta en la mayoría de las fases dentro de los tiempos establecidos en los cronogramas de trabajo, se presentan incumplimientos en compromisos por parte de algunas direcciones lo que esta generando el retrasos y el alcance del proyecto se esta viendo limitando toda vez que que se tenia contemplado abordar el tema de las inspecciones documentales con todas las Direcciones Misionales.</t>
    </r>
  </si>
  <si>
    <t>10.20 Fortalecer las capacidades técnicas, tecnológicas y logisticas de los Puertos, Aeropuertos y Pasos de Frontera del Invima</t>
  </si>
  <si>
    <t>Fortalecer las capacidades técnicas, tecnológicas y logisticas de los Puertos, Aeropuertos y Pasos de Frontera del Invima</t>
  </si>
  <si>
    <r>
      <rPr>
        <b/>
        <sz val="8"/>
        <rFont val="Arial"/>
        <family val="2"/>
      </rPr>
      <t>14.5</t>
    </r>
    <r>
      <rPr>
        <sz val="8"/>
        <rFont val="Arial"/>
        <family val="2"/>
      </rPr>
      <t xml:space="preserve"> Durante el desarrollo de la tutoria se evidencia que el avance de ejecución del 44%, es importante mencionar que este avance corresponde a la ejecución del 100%  de la fase de planeación y al avance de algunas actividades de la fase de ejecución que se requieren para poder definir un Sistema de información modelado que permita Identificar, ordenar, administrar y asegurar la información de las actividades transversales realizadas dentro de los procesos de Inspección, control sanitatrio, administración de cobro coactivo, gestión contable, gestión de tesoreria y control de calidad de productos del Instituto para la gestión del proceso sancionatorio, con el fin de brindar al usuario la información de manera mas rapida sobre el estado de sus procesos sancionatiorios.
</t>
    </r>
    <r>
      <rPr>
        <b/>
        <sz val="8"/>
        <rFont val="Arial"/>
        <family val="2"/>
      </rPr>
      <t xml:space="preserve">14.6 </t>
    </r>
    <r>
      <rPr>
        <sz val="8"/>
        <rFont val="Arial"/>
        <family val="2"/>
      </rPr>
      <t xml:space="preserve">Para este proyecto se han realizado de acuerdo al cronograma el fortalecimiento a los diferentes sistemas de información así: 
Fortalecer el sistema de Registro Sanitario 67%
Fortalecer el sistema de SIVICOS 49%
Fortalecer el sistema de IVC - Puertos 89%
Fortalecer el sistema de SE Suite 85%
Implantar el Normograma 66%
Fortalecer el sistema de IVC - SOA 0% a la fecha. 
</t>
    </r>
    <r>
      <rPr>
        <b/>
        <sz val="8"/>
        <rFont val="Arial"/>
        <family val="2"/>
      </rPr>
      <t xml:space="preserve">14.7 </t>
    </r>
    <r>
      <rPr>
        <sz val="8"/>
        <rFont val="Arial"/>
        <family val="2"/>
      </rPr>
      <t xml:space="preserve"> El estado a la fecha se encuentra en proceso de recepción de propuestas de la licitación 006 de 2017 para la Adquisición e instalación de un software que haga parte de una solución tecnológica (L1MS Laboratory Information Management System) que permita la gestión de información de los laboratorios de la Oficina de Laboratorios y Control de Calidad del Invima, fase 1.
Teniendo en cuenta que la contratación de la solución SILab licitación 005 de 2017 se declaró desierta el 8 de septiembre de 2017 y se materializó el riesgo de demoras en la contratación se hace necesario levantar acción correctiva en el sistema de gestión de calidad institucional.
</t>
    </r>
    <r>
      <rPr>
        <b/>
        <sz val="8"/>
        <rFont val="Arial"/>
        <family val="2"/>
      </rPr>
      <t xml:space="preserve">14.8 </t>
    </r>
    <r>
      <rPr>
        <sz val="8"/>
        <rFont val="Arial"/>
        <family val="2"/>
      </rPr>
      <t xml:space="preserve">Se encuentra en proceso la contratación de: Diseñar e implementar un modelo tabular a partir de las bases de datos de los sistemaas de registros sanitarios y sivicos, que permita la auto gestión en el diseño y ejecución de reportes críticos identificados en las direcciones misionales y oficinas del invima", convocado el 21 de julio de 2007 Secop link: https://www.contratos.gov.co/consultas/detalleProceso.do?numConstancia=17-15-683753
Se han realizado mesas de trabajo con el contratista para el levantamiento y análisis de la información que permitirá la autogestión de los reportes de registros sanitarios y sivicos en las drecciones misionales, generando información interna eficiente y disponible al interior del Instituto. 
</t>
    </r>
    <r>
      <rPr>
        <b/>
        <sz val="8"/>
        <rFont val="Arial"/>
        <family val="2"/>
      </rPr>
      <t xml:space="preserve">14.9 </t>
    </r>
    <r>
      <rPr>
        <sz val="8"/>
        <rFont val="Arial"/>
        <family val="2"/>
      </rPr>
      <t xml:space="preserve">En ejecución convenio suscrito con Innpulsa, mediante el cual el solucionador Heinsohn Bussiness Technology S.A. está trabajando en un software que permitirá a la industria ingresar solicitudes de trámites y soportes respectivos, así como realizar seguimiento del estado del trámite vía web. Se ha avanzado con el proceso de atención al ciudadano en la creación de los servicios como registro de empresas y usuarios, gestión de los datos y la modelación en BPMn, y el trámite de evaluación farmacológica en todas la modalidades. Se anexa como evidencia video interno https://youtu.be/GoOopySstzo
</t>
    </r>
    <r>
      <rPr>
        <b/>
        <sz val="8"/>
        <rFont val="Arial"/>
        <family val="2"/>
      </rPr>
      <t>14.10</t>
    </r>
    <r>
      <rPr>
        <sz val="8"/>
        <rFont val="Arial"/>
        <family val="2"/>
      </rPr>
      <t xml:space="preserve"> Se ha fortalecido la infrestructura tecnologica del Instituto con las diferntes adquisiciones tanto de software como de hadware, para el buen funcionamiento de conectividad y prestación de servicios internos y externos.</t>
    </r>
  </si>
  <si>
    <t>18.2 Crear el Observatorio Nacional e Iberoamericano de lucha contra la ilegalidad de productos competencia del Invima</t>
  </si>
  <si>
    <r>
      <rPr>
        <b/>
        <sz val="8"/>
        <rFont val="Arial"/>
        <family val="2"/>
      </rPr>
      <t>18.1</t>
    </r>
    <r>
      <rPr>
        <sz val="8"/>
        <rFont val="Arial"/>
        <family val="2"/>
      </rPr>
      <t xml:space="preserve"> Se diseño el "expediente" pedagógico que contiene los casos que se abordaron durante el ejercicio de IVC Sanitarios simulados en las ciudades de Bogotá, Cali, y Barranquilla donde se evidencia Introducción, objetivos, contexto de la explicación, desarrollo de la herramienta de capacitación el cual se entregó a cada uno de los noventa (90) participantes.
A la fecha se ha realizado la evaluación Postfacto del ejercicio IVC simulado sanitario a los participantes de la ciudad de Bogotá.
De acuerdo con  resultados obtenidos surge la necesidad de explorar la forma de operación de las autoridades sanitarias homologas en Latinoamérica, en temas relacionados con ilegalidad, adicionando la actividad Encuentro Regional de Autoridades Sanitarias de Latinoamérica: Retos y Expectativas frente a la Ilegalidad, cuyo objetivo es Conocer las experiencias de las homologas de la región de cómo se enfrenta el fenómeno de la ilegalidad en cada país, así como se realiza el IVC con enfoque de ilegalidad y de qué manera se inician e imponen sanciones sanitarias, paises invitados Chile, Argentina, Perú, Ecuador,El Salvador, Brasil, México, Panamá y un presupuesto de $104,346,000 por parte de Invima.
</t>
    </r>
    <r>
      <rPr>
        <b/>
        <sz val="8"/>
        <rFont val="Arial"/>
        <family val="2"/>
      </rPr>
      <t>18.2</t>
    </r>
    <r>
      <rPr>
        <sz val="8"/>
        <rFont val="Arial"/>
        <family val="2"/>
      </rPr>
      <t xml:space="preserve"> Se Creó el Observatorio Nacional e Iberoamericano de lucha contra la ilegalidad de productos competencia del Invima, cuyo objetivo general es Generar conocimiento a través de una herramienta de caracter preventivo que permita la medición del impacto que genera el uso y consumo de productos SSFFC y que ademas ingresan de contrabando, en el derecho fundamental a la salud de la población con un alcance del proyecto  a nivel nacional e Iberoamericano. Impacto: El Invima como autoridad sanitaria tomará decisiones estratégicas para la generación de políticas públicas referentes a la ilegalidad, contrabando y corrupión, en el ámbito de sus competencias. Estas decisiones estratégicas tienen la finalidad de crear la base de datos de informaciones, anotaciones y antecedentes sanitarios, lo que permitirá ejecer una eficiente y eficaz vigilancia sanitaria.
De igual manera mantendrá informada de manera sistemática y permanente a la población, a las autoridades judiciales, Organismos de control y a las Autoridades sanitarias homologas de los países de la región, sobre las acciones preventivas y correctivas de lucha contra la ilegalidad, contrabando y corrupción adoptadas por Colombia a través de este Instituto.</t>
    </r>
  </si>
  <si>
    <t>Generar conocimiento a través de una herramienta de caracter preventivo que permita la medición del impacto que genera el uso y consumo de productos SSFFC y que ademas ingresan de contrabando, en el derecho fundamental a la salud de la población.</t>
  </si>
  <si>
    <t>IV Trimestre cierre de brechas</t>
  </si>
  <si>
    <r>
      <rPr>
        <b/>
        <sz val="8"/>
        <rFont val="Arial"/>
        <family val="2"/>
      </rPr>
      <t>1.15</t>
    </r>
    <r>
      <rPr>
        <sz val="8"/>
        <rFont val="Arial"/>
        <family val="2"/>
      </rPr>
      <t xml:space="preserve"> Durante el desarrollo de la tutoria se evidencia un ejecución del 100% , soportado en el cumplimiento de los planes de trabajo establecidos para los ciclos I y II del año 2017, con los cuales se fortaleció el proceso de capacitación y asistencia técnica nacional e internacional a través de la Plataforma Aula Virtual Invima  aplicando la metodología de enseñanza/aprendizaje e-learning y b-learning, obteniendo los siguientes resultados:
Particiáción nacional, fueron convocados 199 profesionales, de los cuales 112 (56%) manifestaron su interés de iniciar el aprendizaje e ingresaron en la plataforma. Del total de inscritos que exploraron los módulos, entregaron las actividades y aprobaron la evaluación final fueron 61 estudiantes (55%), los modulos desarrollados corresponden a Tecnovigilancia Colombiano, Diligenciamiento del Formulario de reporte de eventos e incidentes adversos - FOREIA, Sistema de Gestión de Riesgo Clínico – Protocolo de Londres y Sistema de Gestión de Riesgo Clínico – AMFE.
Participación internacional, fueron inscritos 75 profesionales (RED PARF Y RED EAMI), de los cuales 56 (75%) culminaron las actividades y aprobaron satisfactoriamente de los tres módulos. Del total de funcionario siete (7) no aprobaron la evaluación final y fueron certificados por su participación, lo que corresponde a un total de 63 (84%) funcionarios que fueron certificados en todo el proceso. Doce (12) no realizaron ingreso ni actividad en plataforma lo que equivale al 16% del total de participantes, los modulos desarrollados corresponden a Programa de Tecnovigilancia Colombiano, Diligenciamiento del Formulario de reporte de eventos e incidentes adversos - FOREIA y Reuso y Reprocesamiento de Dispositivos Médicos.
</t>
    </r>
    <r>
      <rPr>
        <b/>
        <sz val="8"/>
        <rFont val="Arial"/>
        <family val="2"/>
      </rPr>
      <t>1.16</t>
    </r>
    <r>
      <rPr>
        <sz val="8"/>
        <rFont val="Arial"/>
        <family val="2"/>
      </rPr>
      <t xml:space="preserve"> Se evidencia una ejecución 100% , lo anterior teniendo en cuenta el cumplimiento oportuno de las actividades que se tienen definidas en el cronograma, es decir que se ejecuta en su totalidad el 100% de las actividades del proyecto, y se desarrollan la totalidad de asistencias técnicas, mediante las cuales se gestiona en las instituciones prestadoras de servicios de salud IPS  la  implementación y fortalecimiento de  los sistemas de gestión de riesgo clinico con enfoque preventivo aplicado al analisis y gestión de eventos adversos e incidentes relacionados con los reactivos de diagnostico in vitro, fortaleciendo asi  los conocimientos técnico - científicos del personal interno de cada Institución.
</t>
    </r>
    <r>
      <rPr>
        <b/>
        <sz val="8"/>
        <rFont val="Arial"/>
        <family val="2"/>
      </rPr>
      <t>1.17</t>
    </r>
    <r>
      <rPr>
        <sz val="8"/>
        <rFont val="Arial"/>
        <family val="2"/>
      </rPr>
      <t xml:space="preserve"> Se realizaron Registratones: Cali con una participación de 30  personas donde se les socializó información relacionada con los procesos sancionatorios con énfasis cuando se incurren en el incumplimiento de las normas. Adicionalmente se hizo entrega del material informativo (volantes).
Asistencias técnicas: Villavicencio: con una participación de 139 personas. Donde se socializó todo lo relacionado al proceso sancionatorio: Normatividad de alimentos y sus correspondientes procedimientos y términos.
</t>
    </r>
    <r>
      <rPr>
        <b/>
        <sz val="8"/>
        <rFont val="Arial"/>
        <family val="2"/>
      </rPr>
      <t>1.18</t>
    </r>
    <r>
      <rPr>
        <sz val="8"/>
        <rFont val="Arial"/>
        <family val="2"/>
      </rPr>
      <t xml:space="preserve"> Dentro del procesos de acompañamiento  se pudo verificar que la publicacion fue soportada mediante un oficio con radicado No EJO18-95  del 12 de enero de 2018 en donde se informa que la EJRLB pone a disposición de los funcionarios judiciales el material remitido. De otra parte se realiza un informe en donde manifiestan que el trabajo realizado durante los últimos años en pro de fortalecer el conocimiento en temas sanitarios de los funcionarios y empleados al servicio de la administración de la justicia colombiana, ha permitido que las decisiones judiciales adoptadas principalmente en acciones de tutela relacionadas con medicamentos se ajusten  a las competencias funcionales del Invima. De acuerdo a la información  extraída de la base de datos de la Oficina Asesora Juridica, se evidencia una disminución en las tutelas notificadas al Instituto en el año 2017, respecto al año 2016, Es importante tener en cuenta, que lo que se busca es que los administradores de justicia conozcan la normatividad sanitaria y las competencias del Invima, lo que necesariamente conllevará a la disminución de la vinculación del Instituto principalmente en acciones constitucionales, generando una pronta y efectiva justicia, donde el beneficiario final es el ciudadano. Esta reducción ya se refleja, en el aumento de requerimientos de información dirigidos al Instituto dentro del trámite de tutela, en los cuales, el Juez  solicita al Invima información sanitaria respecto de los productos de su competencia, sin que medie vinculación a la acción, como acontecía en precedente.
</t>
    </r>
    <r>
      <rPr>
        <b/>
        <sz val="8"/>
        <rFont val="Arial"/>
        <family val="2"/>
      </rPr>
      <t xml:space="preserve">1.19 </t>
    </r>
    <r>
      <rPr>
        <sz val="8"/>
        <rFont val="Arial"/>
        <family val="2"/>
      </rPr>
      <t xml:space="preserve">El Grupo de Comunicaciones promovio  información mediante Facebook, Twitter y Youtube, impactando así:
* En facebook  los usuarios ingresaron en una total de 3.968.983 con un total de 33.380 visitas y 3.352 publicaciones
Dentro de los productos de videos de educación sanitaria se realizaron un total de 3 videos  de educación sanitaria en formato de código cívico con la Autoridad Nacional de Televisión que fueron emitidos por los canales de televisión nacional de señal abierta en temas: alimentos, medicamentos y productos fraudulentos. Los videos visibilizaron nuestro que hacer, mostrándole a la gente el trabajo de la entidad detrás de los productos vigilados.
Así mismo, se enfatizó en la importancia de siempre verificar el registro sanitario en los productos que consumen.
Durante el 2017 se realizó un capítulo de la serie web A lo Sanchez versión Iberoamérica, en la cual participaron las agencias sanitaria de España, República Dominicana y Perú y  un video en formato Storytelling que fue difundido en salas de cine y canales propios digitales. 
De otra parte el  Grupo de Comunicaciones realizó la campaña de educación sanitaria “Ojo con los milagrosos sospechosos”, la cual alertó a la población sobre productos que abundan en internet y las redes sociales prometiendo resultados rápidos y extraordinarios, y que tienen un común denominador, son fraudulentos y ponen en riesgo la salud de los colombianos. </t>
    </r>
  </si>
  <si>
    <r>
      <t xml:space="preserve">3.2 </t>
    </r>
    <r>
      <rPr>
        <sz val="8"/>
        <rFont val="Arial"/>
        <family val="2"/>
      </rPr>
      <t>No se presenta avance de ninguna actividad, lo anterior debido a que las actividades en la Fase 3 de validación que estaban pendiente por entrega se encontraban bajo la responsabilidad de la Oficina de Tecnologías de la Información, con el agravante que las  actividades subsiguientes dependen del cumplimiento de las anteriormente mencionadas. En tal sentido, la Dirección de Dispositivos Medicos y Otras Tecnologías en vista de este incumplimiento y a pesar de varios requerimientos efectuados a la Oficina de Tecnologías de la Información,  programa una  reunión de avance para el día 22 de diciembre de 2017 en la cual los líderes de la Oficina de TI definen como fecha límite de entrega de todo el proyecto el día 9 de Enero de 2018. Sin embargo, la Oficina OTI realiza entrega de la solución el dia 12 de enero de 2018, sobre la cual una vez se realizan las pruebas de validación que corresponden a la Fase 3, por parte de la Direccion de Dispositivos Médicos, se evidencia que se hace una entrega parcial del producto esperado requiriendo para fecha del 17 de enero de 2018 un total de 17 ajustes sobre el producto, al respecto el dia 22 de enero de 2018 la Direccion de Dispositivos Médicos Médicos, convoca a una reunión al jefe de la Oficina de TI para que establezcan la fecha de entrega real del Proyecto, con base en la estimación de recursos que involucre los tiempos de desarrollo, validación  y paso a producción</t>
    </r>
    <r>
      <rPr>
        <b/>
        <sz val="8"/>
        <rFont val="Arial"/>
        <family val="2"/>
      </rPr>
      <t xml:space="preserve">
3.3</t>
    </r>
    <r>
      <rPr>
        <sz val="8"/>
        <rFont val="Arial"/>
        <family val="2"/>
      </rPr>
      <t xml:space="preserve"> Se logra realizar el análisis del estado actual de la vigilancia posmercado de los dispositivos médicos en Colombia,  apartir de la valoración cuali-cuantitativo del desempeño e impacto que este programa ha generado  para  mejorar el sistema de vigilancia sanitaria en un constructo colectivo en donde se encuentran los actores del mismo, para el analisis anteriormente mencionado se desarrollaron los siguientes componentes:
1. Diagnóstico del estado del arte del programa de tecnovigilancia 2012-2017
2. Sistema de vigilancia a partir de metodologías e instrumentos  propuestos por la OMS 
3. Grado de implementación con enfoque mixto cuali-cuantitativo del programa de tecnovigilancia.
4.Plan de mejoramiento para el desarrollo del fortalecimiento de la vigilancia posmercado de dispositovos médicos</t>
    </r>
  </si>
  <si>
    <t>s</t>
  </si>
  <si>
    <r>
      <t xml:space="preserve">8.1 </t>
    </r>
    <r>
      <rPr>
        <sz val="8"/>
        <rFont val="Arial"/>
        <family val="2"/>
      </rPr>
      <t>El proyecto avanza dentro de los tiempos establecidos con algunos retrasos en actividades puntuales las cuales pueden ser ajustadas sin que se afecte el alcance del mismo. Los resultados obtenidos se reflejan en la realización del XV encuentro de farmcovigilancia de las américas y el IV encuentro nacional con participación de expertos nacionales e internacionales en conjunto con el Colegio Nacional de Químicos Farmacéuticos, la Universidad Nacional de Colombia y la Organización Mundial de la Salud OMS/OPS, en el desarrollo de este evento se abordarón temas como: Biotecnológicos y farmacovigilancia, seguridad en su uso, riesgo asociado, el análisis de los medicamentos con uso fuera de indicaciones y el papel de las asociaciones científicas en ellos, notificación a pacientes pro y contras, uso de redes sociales, farmacovigilancia activa en salud pública (TBC), malaria, hepatitis, informes de seguridad en medicamentos y avances en farmacovigilancia de la región de las Américas y presentación y premiación de los mejores trabajos académicos.</t>
    </r>
    <r>
      <rPr>
        <b/>
        <sz val="8"/>
        <rFont val="Arial"/>
        <family val="2"/>
      </rPr>
      <t xml:space="preserve">
8.2 </t>
    </r>
    <r>
      <rPr>
        <sz val="8"/>
        <rFont val="Arial"/>
        <family val="2"/>
      </rPr>
      <t>En la actividad de pruebas preliminares de los cambios del aplicativo se realizarón 5 pruebas al aplicativo y los ajustes pertinentes derivados de las mismas , el útlimo ajuste fue el 13 de Diciembre de 2017 fecha en la que salio a producción el aplicativo. Se fectuó un ajuste posterior a la puesta en producción del aplicativo para validación de usuarios en los reporte</t>
    </r>
    <r>
      <rPr>
        <b/>
        <sz val="8"/>
        <rFont val="Arial"/>
        <family val="2"/>
      </rPr>
      <t xml:space="preserve">
</t>
    </r>
    <r>
      <rPr>
        <sz val="8"/>
        <rFont val="Arial"/>
        <family val="2"/>
      </rPr>
      <t>El proyecto se encuentra dentro de los tiempos establecidos en el cronograma de trabajo. Como resultado del proyecto se ha realizado actividades con participación de la industria para el cliclo de trabajo de mesas de farmacovigilancia. Adicionalmente se ha mejorado la calidad de los reportes allegados al Invima pasando del 54% en 2016 al 63% en lo corrido de 2017.</t>
    </r>
  </si>
  <si>
    <r>
      <rPr>
        <b/>
        <sz val="8"/>
        <rFont val="Arial"/>
        <family val="2"/>
      </rPr>
      <t>4.1</t>
    </r>
    <r>
      <rPr>
        <sz val="8"/>
        <rFont val="Arial"/>
        <family val="2"/>
      </rPr>
      <t xml:space="preserve"> No se presenta avance de ninguna actividad, lo anterior obedece a que las actividades que estaban pendiente de cumplirse estaban bajo la responsabilidad de la Oficina de Tecnologías de la Información y  las demas son dependientes del cumplimiento de las anteriormente mencionadas, en tal sentido la Dirección de Dispositivos Medicos en vista de este incumplimiento apesar de varios compromisos por parte de la  Oficina de Tecnologías de la Información convoca a reunion  el 22 de Diciembre con la Oficina de Tecnologias de la información, en la cual se definio como fecha limite de entrega por parte de esta oficina para el 15 de Enero de 2018 y se solicito a la  Dirección de Dispositivos Medicos  el envio de una información adicional la cual se remitio mediante correo electronico el 29 de Diciembre.</t>
    </r>
  </si>
  <si>
    <r>
      <t xml:space="preserve">6.4 </t>
    </r>
    <r>
      <rPr>
        <sz val="8"/>
        <rFont val="Arial"/>
        <family val="2"/>
      </rPr>
      <t>Se han tomado 241 muestras del total programado 
El número de muestras o alimentos analizados para este proyecto varia frente al número de muestras que se programa inicialmente debido a que se está verificando los micronutrientes y macronutrientes en cada uno de ellos por lo que para un alimento pueden salir 7 o más análisis y en otros solo uno de acuerdo a lo hallado por lo que el presupuesto estimado para cierto número de muestras puede agotarse y verse afectado el número total final de las mismas.
Se reomienda remitir un control de cambios donde se formalice por parte de la Dirección de Alimentos el nuevo número de muestras del plan con su respectiva justificación Se han recibio 191 resultados de laboratorio y se esta pendiente de los restantes por parte del laboratorio tercerizado (50)
Se requiere solicitar de manera inmediata la entrega de los resultados de laboratorio los cuales debieron ser entregados en el mes de Diciembre como esta establecido tanto en el cronograma de trabajo como en los acuerdos contractuales hechos por dicho laboratorio.</t>
    </r>
  </si>
  <si>
    <r>
      <rPr>
        <b/>
        <sz val="8"/>
        <rFont val="Arial"/>
        <family val="2"/>
      </rPr>
      <t>7.4</t>
    </r>
    <r>
      <rPr>
        <sz val="8"/>
        <rFont val="Arial"/>
        <family val="2"/>
      </rPr>
      <t xml:space="preserve"> Para productos hortofuticolas se encontraron en total al cierre de la toma y análisis de muestras 79 resultados rechazados en plaguicidas 38 en frutas y 41 en hortalizas y excedencias de metales pesados con 70 resultados no conformes 35 en frutas y 35 en hortalizas y tuberculos información remitida al ICA para la aplicación de medidas de intervención y gestión del riesgo.
Respecto a la toma de muestras de arroz se tomaron unicamente 17 de 42 muestras debido a que son a demanda es decir dependen de la importación del producto al país, para los resultados de laboratorio se presentan retrasos en los análisis de la siguiente manera: 
Molinos 158 muestras remitidas - 79 resultados entregados - faltan por entregar 80 resultados
Fincas 360 muestras tomadas: 275 análisis entregados - faltan 85 resultados por entregar
Teniendo en cuenta los retrasos por parte del laboratorio Invima han llegado tarde se toma la decisión de notificar a los establecimientos los resultados obtenidos mediante un oficio.
Cadmio en cacao:  la fase de divulgación de resultados del proyecto presenta un retraso y el avance del mismo depende de la revisión otra área del instituto.
Es necesario determinar una fecha de entrega de observaciones al documento con el Grupo de Unidad de Riesgos de manera que se pueda determinar la fecha aproximada de terminación del proyecto.
</t>
    </r>
    <r>
      <rPr>
        <b/>
        <sz val="8"/>
        <rFont val="Arial"/>
        <family val="2"/>
      </rPr>
      <t xml:space="preserve">7.5 </t>
    </r>
    <r>
      <rPr>
        <sz val="8"/>
        <rFont val="Arial"/>
        <family val="2"/>
      </rPr>
      <t xml:space="preserve">LECHE CRUDA: El proyecto presenta retrasos en la fase de ejecución y análisis y por consiguiente en las fases posteriores.
BOVINOS:Durante el desarrollo del proyecto se han identificado 23 resultados no conformes por presencia de sustancias anabólicas frente a lo cual se ha remitido la información al ICA para la toma de medidas de intervención así como la notificación de la información a los plantas de beneficio y a los inspectores para que realicen el seguimiento y nuevamente toma de muestras a los animales provenientes de las fincas con resultados no conformes.
PORCINOS:La ejecución del proyecto para este trimestre ha dado como resultado la identificación de un análisis de laboratorio no conforme por aumento del límite máximo de residuos en ivermectina (antiparasitarios de uso externo e interno) por lo que se ha notificado al ICA para la toma de medidas de intervención dentro del predio y se realiza la notificación a la planta de beneficio para el control de proveedores y al inspector del Invima para efectuar nuevas tomas de muestras a los animales provenientes y de esta manera realizar un seguimiento continuo.
AVES: El desarrollo del proyecto da como resultado la identificación de 6 resultados de laboratorio no conformes por presencia de anticoxidiales (medicamentos usados para el tratamiento de las coxidias - parasitos en aves).
</t>
    </r>
    <r>
      <rPr>
        <b/>
        <sz val="8"/>
        <rFont val="Arial"/>
        <family val="2"/>
      </rPr>
      <t xml:space="preserve">7.6 </t>
    </r>
    <r>
      <rPr>
        <sz val="8"/>
        <rFont val="Arial"/>
        <family val="2"/>
      </rPr>
      <t xml:space="preserve">En comité tripartita del 15 de Noviembre se aprueba el cierre de los proyectos que hayan entregado el documento final a la Dirección General sin embargo estos deberán ajustarse posteriormente si el Director General emite nuevas recomendaciones.
</t>
    </r>
    <r>
      <rPr>
        <b/>
        <sz val="8"/>
        <rFont val="Arial"/>
        <family val="2"/>
      </rPr>
      <t>7.7  ACUICULTURA:</t>
    </r>
    <r>
      <rPr>
        <sz val="8"/>
        <rFont val="Arial"/>
        <family val="2"/>
      </rPr>
      <t xml:space="preserve">El documento técnico fue finalizado y ajustado de acuerdo a las observaciones hechas por el Grupo Unidad de Riesgos y remitido al Director General. En comité tripartita del 15 de Noviembre se aprueba el cierre de los proyectos que hayan entregado el documento final a la Dirección General .
</t>
    </r>
    <r>
      <rPr>
        <b/>
        <sz val="8"/>
        <rFont val="Arial"/>
        <family val="2"/>
      </rPr>
      <t xml:space="preserve">ATÚN EN CONSERVA: </t>
    </r>
    <r>
      <rPr>
        <sz val="8"/>
        <rFont val="Arial"/>
        <family val="2"/>
      </rPr>
      <t xml:space="preserve">El proyecto se cierra con la entrega del informe a la Dirección General quien lo publicará y divulgará o los demas actores . En comité tripartita del 15 de Noviembre se aprueba el cierre de los proyectos que hayan entregado el documento final a la Dirección General .
</t>
    </r>
    <r>
      <rPr>
        <b/>
        <sz val="8"/>
        <rFont val="Arial"/>
        <family val="2"/>
      </rPr>
      <t>7.8</t>
    </r>
    <r>
      <rPr>
        <sz val="8"/>
        <rFont val="Arial"/>
        <family val="2"/>
      </rPr>
      <t xml:space="preserve">  </t>
    </r>
    <r>
      <rPr>
        <b/>
        <sz val="8"/>
        <rFont val="Arial"/>
        <family val="2"/>
      </rPr>
      <t>METILMERCURIO:</t>
    </r>
    <r>
      <rPr>
        <sz val="8"/>
        <rFont val="Arial"/>
        <family val="2"/>
      </rPr>
      <t xml:space="preserve"> El proyecto se cierra.  En comité tripartita del 15 de Noviembre se aprueba el cierre de los proyectos que hayan entregado el documento final a la Dirección General .
</t>
    </r>
    <r>
      <rPr>
        <b/>
        <sz val="8"/>
        <rFont val="Arial"/>
        <family val="2"/>
      </rPr>
      <t xml:space="preserve">7.9 ENVASES: </t>
    </r>
    <r>
      <rPr>
        <sz val="8"/>
        <rFont val="Arial"/>
        <family val="2"/>
      </rPr>
      <t xml:space="preserve">A pesar de los retrasos que presentan las fases el proyecto no se clasifica como crítico toda vez que en la reunión de comité tripartita del 10 de Octubre de 2017 se aprobarón los cambios correspondientes sin embargo para formalizarlos y que se reflejen en el cronograma de trabajo se requiere que la Dirección de Alimentos los remita de acuerdo a lo establecido en el procedimento de formulación y seguimiento a la plataforma estratégica del Invima.
</t>
    </r>
    <r>
      <rPr>
        <b/>
        <sz val="8"/>
        <rFont val="Arial"/>
        <family val="2"/>
      </rPr>
      <t xml:space="preserve">7.10 </t>
    </r>
    <r>
      <rPr>
        <sz val="8"/>
        <rFont val="Arial"/>
        <family val="2"/>
      </rPr>
      <t xml:space="preserve">Para la divulgación de resultados se esta a la espera de la aprobación de la propuesta que realizó la Dirección de Alimentos resultado de las reuniones del Comité tripartita.
</t>
    </r>
    <r>
      <rPr>
        <b/>
        <sz val="8"/>
        <rFont val="Arial"/>
        <family val="2"/>
      </rPr>
      <t>7.11  MITOCOXINAS:</t>
    </r>
    <r>
      <rPr>
        <sz val="8"/>
        <rFont val="Arial"/>
        <family val="2"/>
      </rPr>
      <t xml:space="preserve"> El informe final fue remitido a la Dirección General para diagramación y publicación. En comité tripartita del 15 de Noviembre se aprueba el cierre de los proyectos que ya hayan entregado el documento final a la Dirección General 
</t>
    </r>
    <r>
      <rPr>
        <b/>
        <sz val="8"/>
        <rFont val="Arial"/>
        <family val="2"/>
      </rPr>
      <t xml:space="preserve">7.14.ACUICULTURA: </t>
    </r>
    <r>
      <rPr>
        <sz val="8"/>
        <rFont val="Arial"/>
        <family val="2"/>
      </rPr>
      <t xml:space="preserve">El proyecto avanza dentro del tiempo establecido en el cronograma del trabajo.
</t>
    </r>
    <r>
      <rPr>
        <b/>
        <sz val="8"/>
        <rFont val="Arial"/>
        <family val="2"/>
      </rPr>
      <t xml:space="preserve">ATUN EN CONSERVA: </t>
    </r>
    <r>
      <rPr>
        <sz val="8"/>
        <rFont val="Arial"/>
        <family val="2"/>
      </rPr>
      <t xml:space="preserve">El proyecto avanza dentro de los tiempos contemplados en el cronograma de trabajo, en la ejecución del proyecto se ha identificado 1 resultado rechazado para un total de 6 resultados rechazados, sin embargo dicho resultado es de los lotes de atún producidos antes de la inspección permanente que surgio como medidad de intervención, la información al respecto fue remitida con la propuesta de intervención al grupo de vigilancia epidemiologica.
</t>
    </r>
    <r>
      <rPr>
        <b/>
        <sz val="8"/>
        <rFont val="Arial"/>
        <family val="2"/>
      </rPr>
      <t xml:space="preserve">7.15 HORTOFRUTICOLAS: </t>
    </r>
    <r>
      <rPr>
        <sz val="8"/>
        <rFont val="Arial"/>
        <family val="2"/>
      </rPr>
      <t>El proyecto presenta un retrasos en el análisis de laboratorio por lo que se requiere la gestión inmediata del mismo. se requiere realizar la gestión correspondiente con los laboratorio tanto de terceros como de Invima y establecer con ellos fechas de compromisos para entrega de dichos resultados que se ajusten al cronograma del proyecto, se recuerda que esta actividad es clafisificada como crítica ya que un retraso en la misma generaría un retraso en las fases siguientes del proyecto por lo que su cumplimiento es fundamental.
Durante la revisión de resultados no se han presentados resultados rechazados.</t>
    </r>
    <r>
      <rPr>
        <b/>
        <sz val="8"/>
        <rFont val="Arial"/>
        <family val="2"/>
      </rPr>
      <t xml:space="preserve">
MITOCOXINAS 2017:  </t>
    </r>
    <r>
      <rPr>
        <sz val="8"/>
        <rFont val="Arial"/>
        <family val="2"/>
      </rPr>
      <t>Durante la ejecución del proyecto se han obtenido resultados orientados a la articulación y mejoramiento del las condiciones sanitarias mediante el desarrollo de la segunda mesa fitosanitaria de maíz realizada en el departamento de Córdoba por Invima, ICA, Fenalce y Ministerio de Agricultura para continuar estableciendo las medidas de prevención y control en la cadena del máiz . Se ha remitido información al Ministerio de Salud y Protección Social sobre el avance de estas mesas con el fin de lograr la participación del mismo como ente rector en las demás sesiones de trabajo.</t>
    </r>
    <r>
      <rPr>
        <b/>
        <sz val="8"/>
        <rFont val="Arial"/>
        <family val="2"/>
      </rPr>
      <t xml:space="preserve">
ARROZ:  </t>
    </r>
    <r>
      <rPr>
        <sz val="8"/>
        <rFont val="Arial"/>
        <family val="2"/>
      </rPr>
      <t xml:space="preserve">: Se requiere de manera urgente los certificados individuales de laboratorios ya que son el insumo que se lleva a las empresas como soporte para realizar las medidas de intervención en el establecimiento, la demora en estos resultados afecta la efectividad de las acciones a aplicar.
El proyecto avanza dentro de los tiempos contemplados sin embargo es fundamental acoger las recomendaciones realizadas.
</t>
    </r>
    <r>
      <rPr>
        <b/>
        <sz val="8"/>
        <rFont val="Arial"/>
        <family val="2"/>
      </rPr>
      <t>EVENTOS NO APROBADOS</t>
    </r>
    <r>
      <rPr>
        <sz val="8"/>
        <rFont val="Arial"/>
        <family val="2"/>
      </rPr>
      <t xml:space="preserve">:  Es necesario actualizar el alcance del proyecto en este caso el número de muestras mediante un control de cambios con la respectiva justificación la cuál obedeció a una situación externa, sin embargo se recomienda revisar desde el enfoque técnico el impacto de este cambio, es decir si el documento técnico final no se ve afectado con la disminusión del 56% en el número total de muestras.
</t>
    </r>
    <r>
      <rPr>
        <b/>
        <sz val="8"/>
        <rFont val="Arial"/>
        <family val="2"/>
      </rPr>
      <t xml:space="preserve">OGM ROTULADO 2017: </t>
    </r>
    <r>
      <rPr>
        <sz val="8"/>
        <rFont val="Arial"/>
        <family val="2"/>
      </rPr>
      <t>El desarrollo del proyecto ha generado la identificación de 14 resultados no conformes en el total del plan 5 de estos se presentarón en el último trimestre de la vigencia 2017 en productos como barras de frutas y semillas, hamburguesas de quinoua, maletadas y pan, esta información ha sido remitida para aplicación de las medidas sanitarias de intervención y se está a la espera de las mismas.</t>
    </r>
    <r>
      <rPr>
        <b/>
        <sz val="8"/>
        <rFont val="Arial"/>
        <family val="2"/>
      </rPr>
      <t xml:space="preserve">
OGM ORGANICOS:  </t>
    </r>
    <r>
      <rPr>
        <sz val="8"/>
        <rFont val="Arial"/>
        <family val="2"/>
      </rPr>
      <t xml:space="preserve">Durante el desarrollo del proyecto se identificarón 5 resultados no conformes en el útimo trimestre de la vigencia 2017 en productos como: cereales, quinuoa y leche en polvo de soja. esta información ha sido remitida para aplicación de las medidas sanitarias de intervención y se está a la espera de las mismas.
</t>
    </r>
    <r>
      <rPr>
        <b/>
        <sz val="8"/>
        <rFont val="Arial"/>
        <family val="2"/>
      </rPr>
      <t>7.16</t>
    </r>
    <r>
      <rPr>
        <sz val="8"/>
        <rFont val="Arial"/>
        <family val="2"/>
      </rPr>
      <t xml:space="preserve"> </t>
    </r>
    <r>
      <rPr>
        <b/>
        <sz val="8"/>
        <rFont val="Arial"/>
        <family val="2"/>
      </rPr>
      <t>BOVINOS 2017</t>
    </r>
    <r>
      <rPr>
        <sz val="8"/>
        <rFont val="Arial"/>
        <family val="2"/>
      </rPr>
      <t xml:space="preserve">:  Se han  identificado 13 resultados no conformes por presencia de sustancias anabolizantes por lo cual esta información es reportada al ICA para la aplicación de medidas de intervención así como al inspector en la planta de beneficio para nueva toma de muestras y seguimiento a los animales provenientes de las fincas afectadas con esta presencia se sustancias y las plantas de beneficio para revisión y selección de proveedores.
</t>
    </r>
    <r>
      <rPr>
        <b/>
        <sz val="8"/>
        <rFont val="Arial"/>
        <family val="2"/>
      </rPr>
      <t>PORCINOS 2017:</t>
    </r>
    <r>
      <rPr>
        <sz val="8"/>
        <rFont val="Arial"/>
        <family val="2"/>
      </rPr>
      <t xml:space="preserve"> El proyecto avanza dentro de los tiempos contemplados se presentan leves retrasos por entrega de resultados de laboratorio.
</t>
    </r>
    <r>
      <rPr>
        <b/>
        <sz val="8"/>
        <rFont val="Arial"/>
        <family val="2"/>
      </rPr>
      <t>AVES 2017: S</t>
    </r>
    <r>
      <rPr>
        <sz val="8"/>
        <rFont val="Arial"/>
        <family val="2"/>
      </rPr>
      <t xml:space="preserve">e han tomado 306 muestras que corresponden al 54% del total programado. El proyecto avanza dentro de los tiempos establecidos en el cronograma de trabajo
El proyecto avanza dentro de los tiempos establecidos en el cronograma de trabajo.
</t>
    </r>
    <r>
      <rPr>
        <b/>
        <sz val="8"/>
        <rFont val="Arial"/>
        <family val="2"/>
      </rPr>
      <t>HUEVO 2017: S</t>
    </r>
    <r>
      <rPr>
        <sz val="8"/>
        <rFont val="Arial"/>
        <family val="2"/>
      </rPr>
      <t xml:space="preserve">e han tomado 48 muestras que corresponden a un 21% del total programado en el plan.
 Se han identificado 5 resultados rechazados por presencia de residuos antibióticos no permitidos, esta información fue remitida al ICA entidad que se encargará de la aplicación de medidas de intervención. Adcionalmente con los resultados obtenidos en el plan se estan realizando capacitaciones por parte de Invima, ICA y Fenavi a los acuicultores en los departamentos donde se han presentado estos resultados no conformes, la primera reunión se llevó a cabo en Puerto Inirida.
</t>
    </r>
    <r>
      <rPr>
        <b/>
        <sz val="8"/>
        <rFont val="Arial"/>
        <family val="2"/>
      </rPr>
      <t xml:space="preserve">LECHE CRUDA 2017:  </t>
    </r>
    <r>
      <rPr>
        <sz val="8"/>
        <rFont val="Arial"/>
        <family val="2"/>
      </rPr>
      <t xml:space="preserve"> Se han tomado 200 muestras correspondientes al 57% del total programado en el plan y se han recibido 79 análisis de labotatorio que corresponden al 22% del total programado .
Se presentan retrasos en la entrega de análisis de laboratorio toda vez que el proceso de adquisición de estándares presentó demoras.
Establecer una fecha de compromiso de entrega de resultados con el laboratorio y así evitar posibles retrasos que puedan afectar las acitivdades y fases posteriores del proyecto.
No se han identificado resultados no conformes una vez hecha la revisión de acuerdo a la normatividad vigente.
</t>
    </r>
    <r>
      <rPr>
        <b/>
        <sz val="8"/>
        <rFont val="Arial"/>
        <family val="2"/>
      </rPr>
      <t>POLLO IMPORTADO 2017</t>
    </r>
    <r>
      <rPr>
        <sz val="8"/>
        <rFont val="Arial"/>
        <family val="2"/>
      </rPr>
      <t xml:space="preserve">: Se han tomado 21 muestras que corresponden al 42% del total programado en el proyecto y se han recibido 2 resultados de análisis de laboratorio que corresponden al 4% del total programado en el proyecto.
 La actividad de toma de muestras no se pudo efectuar en su totalidad en la vigencia 2017 como estaba planeado en el cronograma de trabajo y en este momento el proyecto cerro su etapa de ejecución y análisis con un avance del 42% .
 Se requiere de manera inmediata revisar la reformulación y alcance de esta actividad que puede ser tomar las muestras restantes en el mes de enero de 2018, sin embargo deben ser analizadas primero las restricciones de transporte y capacidad del laboratorio Invima.
</t>
    </r>
    <r>
      <rPr>
        <b/>
        <sz val="8"/>
        <rFont val="Arial"/>
        <family val="2"/>
      </rPr>
      <t xml:space="preserve">
</t>
    </r>
  </si>
  <si>
    <r>
      <rPr>
        <b/>
        <sz val="8"/>
        <rFont val="Arial"/>
        <family val="2"/>
      </rPr>
      <t>9.4</t>
    </r>
    <r>
      <rPr>
        <sz val="8"/>
        <rFont val="Arial"/>
        <family val="2"/>
      </rPr>
      <t xml:space="preserve"> El  Proyecto presenta avance de ejecución de 97%. Queda pendiente por parte de la Oficina de Laboratorios la entrega del resultado de siete (7) muestras del total de enviadas por parte de la Dirección de Cosméticos.
</t>
    </r>
    <r>
      <rPr>
        <b/>
        <sz val="8"/>
        <rFont val="Arial"/>
        <family val="2"/>
      </rPr>
      <t>9.6</t>
    </r>
    <r>
      <rPr>
        <b/>
        <sz val="8"/>
        <color rgb="FFFF0000"/>
        <rFont val="Arial"/>
        <family val="2"/>
      </rPr>
      <t xml:space="preserve"> </t>
    </r>
    <r>
      <rPr>
        <sz val="8"/>
        <rFont val="Arial"/>
        <family val="2"/>
      </rPr>
      <t xml:space="preserve">Durante la vigencia del proyecto se analizaron 204 muestras para Medicamentos y 225 muestras para suplemnetso Dietarios.
Se envía Informe  final del Proyecto el día 28 de octubre de 2017 al Director General para su revisión y aprobación.
Se da cierre al proyecto una vez verificado el cumplimiento de ejecución de todas las actividades de las diferentes fases programadas en el cronograma inicial </t>
    </r>
    <r>
      <rPr>
        <b/>
        <sz val="8"/>
        <color rgb="FFFF0000"/>
        <rFont val="Arial"/>
        <family val="2"/>
      </rPr>
      <t xml:space="preserve">
</t>
    </r>
    <r>
      <rPr>
        <b/>
        <sz val="8"/>
        <rFont val="Arial"/>
        <family val="2"/>
      </rPr>
      <t xml:space="preserve">9.7 </t>
    </r>
    <r>
      <rPr>
        <sz val="8"/>
        <rFont val="Arial"/>
        <family val="2"/>
      </rPr>
      <t xml:space="preserve">El Proyecto presenta un avance de ejecución con producto de desarrollo de sus actividades dentro de los tiempos establecidos incialmente.
Se determinó muestrear Equipos de Infusión dentro de los Dispositivos planeados inicialmente que estaba pendiente por definir.
De los Dispostivos programados  incialmente para muestreo dentro del Proyecto este ha sido su comportamiento:
-Guantes: 8 muestras,   las cuales ya fueron tomadas y analizadas en su totalidad
-Preservativos: 10 muestras,  las cuales ya fueron tomadas y analizadas en su totalidad
-Suturas: 15 muestras,  las cuales ya fueron tomadas y analizadas en su totalidad
-Equipos de Infusión: 6 muestras , las cuales  ya fueron tomadas y analizdas 3 muestras.
</t>
    </r>
    <r>
      <rPr>
        <b/>
        <sz val="8"/>
        <rFont val="Arial"/>
        <family val="2"/>
      </rPr>
      <t xml:space="preserve">9.8 </t>
    </r>
    <r>
      <rPr>
        <sz val="8"/>
        <rFont val="Arial"/>
        <family val="2"/>
      </rPr>
      <t xml:space="preserve">Inicialmente se programó para muestreo siete (7) ciudades a más cde 75 kms ( Manizales, Barranquilla ,Cali, Pasto, Villavicencio, Valledupar y Florencia) y una (1) ciudad a menos de 75 Kms, por falta de presupuesto sólo se logró muestrar en seis (6) ciudades de las programadas originalmente. Pendiente la toma de muestras en la ciudad de Bogotá.
Dentro del  análisis de las muestras, se evidencia los siguientes resultados :
Pañitos: diez (10) muestras 
Shampoo microbiológico : trece (13) muestras
Shampoo parabenos: doce (12) muestras
Labiales: cero (0) muestras
Detergentes: cinco (5) muestras 
Se ha hecho la revisión por parte de la Dirección de Cosméticos de la misma cantidad de muestras analizadas las cuales han arrojado resultado CONFORME.
</t>
    </r>
    <r>
      <rPr>
        <b/>
        <sz val="8"/>
        <rFont val="Arial"/>
        <family val="2"/>
      </rPr>
      <t>9.9</t>
    </r>
    <r>
      <rPr>
        <b/>
        <sz val="8"/>
        <color rgb="FFFF0000"/>
        <rFont val="Arial"/>
        <family val="2"/>
      </rPr>
      <t xml:space="preserve"> </t>
    </r>
    <r>
      <rPr>
        <sz val="8"/>
        <rFont val="Arial"/>
        <family val="2"/>
      </rPr>
      <t>Se aprobó y radicó estudios previos, se firmó contrato 462-2017 Suministro de estándares, certificados, materias primas de ingredientes activos, soluciones, solventes, compuestos y mezclas químicas para la oficina de laboratorios de control de calidad del invima. grupos 2 y 5. Programa demuestra la calidad con Kimia Trading ltda, y el contrato 473-2017 Suministro de estándares, certificados, materias primas de ingredientes activos, soluciones, solventes, compuestos y mezclas químicas para la oficina de laboratorios de control de calidad del invima. Grupo 6 con Scientific Products Ltda.
 A la fecha ya seimpartió directrices en las  Seccionales Territoriales de Salud  en cuanto a realizar las visitas de toma de muestras para los resultados no conformes y socialización de los resultados del proyecto por parte del funcionario designado  de la Dirección de Medicamentos y Productos Biológicos en las nueve (9) que quedaban pendientes.</t>
    </r>
    <r>
      <rPr>
        <b/>
        <sz val="8"/>
        <color rgb="FFFF0000"/>
        <rFont val="Arial"/>
        <family val="2"/>
      </rPr>
      <t xml:space="preserve">
</t>
    </r>
    <r>
      <rPr>
        <sz val="8"/>
        <rFont val="Arial"/>
        <family val="2"/>
      </rPr>
      <t xml:space="preserve">
</t>
    </r>
  </si>
  <si>
    <r>
      <rPr>
        <b/>
        <sz val="8"/>
        <rFont val="Arial"/>
        <family val="2"/>
      </rPr>
      <t xml:space="preserve">8.1 </t>
    </r>
    <r>
      <rPr>
        <sz val="8"/>
        <rFont val="Arial"/>
        <family val="2"/>
      </rPr>
      <t>El proyecto avanza dentro de los tiempos establecidos con algunos retrasos en actividades puntuales las cuales pueden ser ajustadas sin que se afecte el alcance del mismo. Los resultados obtenidos se reflejan en la realización del XV encuentro de farmcovigilancia de las américas y el IV encuentro nacional con participación de expertos nacionales e internacionales en conjunto con el Colegio Nacional de Químicos Farmacéuticos, la Universidad Nacional de Colombia y la Organización Mundial de la Salud OMS/OPS, en el desarrollo de este evento se abordarón temas como: Biotecnológicos y farmacovigilancia, seguridad en su uso, riesgo asociado, el análisis de los medicamentos con uso fuera de indicaciones y el papel de las asociaciones científicas en ellos, notificación a pacientes pro y contras, uso de redes sociales, farmacovigilancia activa en salud pública (TBC), malaria, hepatitis, informes de seguridad en medicamentos y avances en farmacovigilancia de la región de las Américas y presentación y premiación de los mejores trabajos académicos.
Durante la vigencia 2017 se ha establecido contacto con 35 secretarias de salud y se ha logrado la articulación con 32 de ellas evidenciandose así un aumento respecto a la vigencia pasada en que la articulación fue de 24 secretarias , dicha articulación busca tener referentes para el programa de farmacovigilancia en las regiones y lograr el reconocimiento de las secretarias de salud como nodo terrotirial por las actividades desarrolladas en torno al uso seguro de medicamentos y fortalecimiento de estratégias en la implementación del programa así como el acompañamiento por parte del Invima a estas entidades en los encuentros locales de farmacovigilancia para incentivar la inscripción en la red. Para la vigencia en curso dicha inscripción de las IPS aumento en 33% .</t>
    </r>
    <r>
      <rPr>
        <b/>
        <sz val="8"/>
        <rFont val="Arial"/>
        <family val="2"/>
      </rPr>
      <t xml:space="preserve">
8.2</t>
    </r>
    <r>
      <rPr>
        <sz val="8"/>
        <rFont val="Arial"/>
        <family val="2"/>
      </rPr>
      <t xml:space="preserve"> Socialización del programa de Farmacovigilancia y acompañamiento para la obtención de líneas bases de medición de implementación del programa en las instituciones e inscripción de IPS al programa de Farmacovigilancia en el departamento de Chocó. 
Capacitación a las IPS en los departamentos visitados  y participación como ponentes en los encuentros de farmacovigilancia convocados por las Secretarías de Salud.
</t>
    </r>
    <r>
      <rPr>
        <b/>
        <sz val="8"/>
        <rFont val="Arial"/>
        <family val="2"/>
      </rPr>
      <t/>
    </r>
  </si>
  <si>
    <r>
      <t>9.4</t>
    </r>
    <r>
      <rPr>
        <sz val="8"/>
        <rFont val="Arial"/>
        <family val="2"/>
      </rPr>
      <t xml:space="preserve"> Se evidencia el reporte de resultados de analisis  de las últimas muestras:
-Enjuage bucal fluocardent JGB.
-Repelente stay off aerosol.
-Repelente de insectos.
-Fly free extreme.</t>
    </r>
    <r>
      <rPr>
        <b/>
        <sz val="8"/>
        <rFont val="Arial"/>
        <family val="2"/>
      </rPr>
      <t xml:space="preserve">
9.7 </t>
    </r>
    <r>
      <rPr>
        <sz val="8"/>
        <rFont val="Arial"/>
        <family val="2"/>
      </rPr>
      <t>Al cierre de proyecto ,se obtenien los sigueintes resultados:
Se  tomaron 39 muestras, 26 en la ciudad de Bogotá (67%)  y 13 a nivel Nacional distribuidas así:
-Guantes:                       8 muestras
-Preservativos:             10 muestras
-Suturas:                       15 muestras
-Equipos de Infusión:  6 muestras.
De estas 39 muestras siete (7) arrojaron resultado  NO CONFORME,  seis (6) clasificadas como Riesgo extremo  a los cuales se les hizo decomiso y recall y una (1) clasificada como riesgo bajo.
Se elaboró informe final del proyecto,el cual está en la Dirección General para su revisión, aprobación y posterior publicación en la página Web de la entidad.</t>
    </r>
    <r>
      <rPr>
        <b/>
        <sz val="8"/>
        <rFont val="Arial"/>
        <family val="2"/>
      </rPr>
      <t xml:space="preserve">
9.8 </t>
    </r>
    <r>
      <rPr>
        <sz val="8"/>
        <rFont val="Arial"/>
        <family val="2"/>
      </rPr>
      <t>Se tomaron cinco (5) muestras  en la ciudad de Bogotá, y se entregaron a la oficina de laboratorios mediante oficio con radicado 17114634 el día 31 de octubre de 2017.
Se han analizado 56 muestras de las 76 tomadas, y se han revisado los resultados de 54 muestras de las mismas 76 tomadas, de los cuales uno (1)  reportó resultado NO CONFORME.</t>
    </r>
    <r>
      <rPr>
        <b/>
        <sz val="8"/>
        <rFont val="Arial"/>
        <family val="2"/>
      </rPr>
      <t xml:space="preserve">
9.9 </t>
    </r>
    <r>
      <rPr>
        <sz val="8"/>
        <rFont val="Arial"/>
        <family val="2"/>
      </rPr>
      <t xml:space="preserve"> Se tomaron 395 muestras de Medicamentos por parte de las Entidades Territoriales de Salud con apoyo de los Grupos de Trabajo Territoriales, y de  igual forma se hizo la recepción de muestras en la Oficina de Laboratorios y Control de Calidad.
 De las 395 muestras tomadas se ha hecho análisis de control de calidad a cuarenta y un (41) muestras y se ha programado la toma de diez y seis (16) muestras que se reportaron con resultado NO CONFORME de las cuarenta y un (41) muestras analizadas.</t>
    </r>
  </si>
  <si>
    <r>
      <t>1</t>
    </r>
    <r>
      <rPr>
        <b/>
        <sz val="8"/>
        <rFont val="Arial"/>
        <family val="2"/>
      </rPr>
      <t xml:space="preserve">0.8 </t>
    </r>
    <r>
      <rPr>
        <sz val="8"/>
        <rFont val="Arial"/>
        <family val="2"/>
      </rPr>
      <t xml:space="preserve">Se evidencia presentación del informe final del proyecto con el siguiente contenido:
*Objetivo
*Aspectos verificados
*Selección de servicios Transfusionales
*Distribución por departamentos
*Resultados de Inspección en servicios transfusionales 
*Conclusiones
</t>
    </r>
    <r>
      <rPr>
        <b/>
        <sz val="8"/>
        <rFont val="Arial"/>
        <family val="2"/>
      </rPr>
      <t>10.9</t>
    </r>
    <r>
      <rPr>
        <sz val="8"/>
        <rFont val="Arial"/>
        <family val="2"/>
      </rPr>
      <t xml:space="preserve"> Se da cumplimiento en un 100% a la fase de diagnostico-Ejecucíón y cierre, logrando asi la definición de   una metodología  de Evaluación Técnica de los catereres angioplasticos en el Grupo de Registros Sanitarios de la Dirección de Dispositivos Médicos  y Otras Tecnologías, mediante la cual se fortalece la capacidad técnica y científica de los expertos evaluadores de los dispositivos médicos del Grupo de Registros Sanitarios de la Dirección de Dispositivos Médicos y Otras Tecnologías garantizando la calidad, seguridad y desempeño con criterios estandarizados para la obtención de un registro sanitario.
</t>
    </r>
    <r>
      <rPr>
        <b/>
        <sz val="8"/>
        <rFont val="Arial"/>
        <family val="2"/>
      </rPr>
      <t xml:space="preserve">10.10 </t>
    </r>
    <r>
      <rPr>
        <sz val="8"/>
        <rFont val="Arial"/>
        <family val="2"/>
      </rPr>
      <t xml:space="preserve"> Se da cumplimiento en un 100% a la fase de diagnostico y de ejecución y cierre, se logra la definición de una metodología estandarizada para la evaluación técnica y sanitaria en materia de expedición de registros sanitarios para los materiales de osteosintesis y metodos de esterilización asociados, mediante la cual se  fortalece la capacidad técnica y científica de de los expertos evaluadores de los dispositivos médicos del Grupo Técnico y de Registros Sanitarios de la Dirección de Dispositivos Médicos y Otras Tecnologías garantizando la calidad, seguridad y desempeño del material de osteosintesis enfocado a la seguridad del paciente.
1</t>
    </r>
    <r>
      <rPr>
        <b/>
        <sz val="8"/>
        <rFont val="Arial"/>
        <family val="2"/>
      </rPr>
      <t xml:space="preserve">0.11 </t>
    </r>
    <r>
      <rPr>
        <sz val="8"/>
        <rFont val="Arial"/>
        <family val="2"/>
      </rPr>
      <t xml:space="preserve"> En tablet se evidencia nivel de riesgo, tipo de inspección a realizar, información amplificada de registro sanitario y de visto bueno con detalle de la VUCE.
* Aplicativo en pruebas finales para dar inicio a implementación.
* Desarrollo de zonas francas y severidad de bebidas alcoholicas.
* Capacitación sobre ajustes realizados a funcionarios de Aeropuerto y Operaciones Sanitarias  en la ciudad de Bogotá.
* Manual de usuario y manual técnico actualizado con los ajustes realizados al aplicativo.
1</t>
    </r>
    <r>
      <rPr>
        <b/>
        <sz val="8"/>
        <rFont val="Arial"/>
        <family val="2"/>
      </rPr>
      <t xml:space="preserve">0.12 </t>
    </r>
    <r>
      <rPr>
        <sz val="8"/>
        <rFont val="Arial"/>
        <family val="2"/>
      </rPr>
      <t xml:space="preserve">* Se realiza levantamiento de la totalidad de los requerimientos, con visto bueno de la Oficina de tecnologías de la Información.
* Diagrama de interface modelo IVC - SOA, Investigación Clínica.
* Diagrama de interface modelo IVC - SOA, Medicamentos.
* Diagrama de interface modelo IVC - SOA, Bancos de Sangre..
</t>
    </r>
    <r>
      <rPr>
        <b/>
        <sz val="8"/>
        <rFont val="Arial"/>
        <family val="2"/>
      </rPr>
      <t xml:space="preserve">10.13 </t>
    </r>
    <r>
      <rPr>
        <sz val="8"/>
        <rFont val="Arial"/>
        <family val="2"/>
      </rPr>
      <t xml:space="preserve"> Una vez calificados los establecimientos  de Investigación Clínica,  el modelo arroja la priorización de establecimientos 2018.
* Informe trimestral de seguimiento a la implementación.
* Modelo calibrado de IVC-SOA en Investigaciones Clínicas.
</t>
    </r>
    <r>
      <rPr>
        <b/>
        <sz val="8"/>
        <rFont val="Arial"/>
        <family val="2"/>
      </rPr>
      <t xml:space="preserve">10.14 </t>
    </r>
    <r>
      <rPr>
        <sz val="8"/>
        <rFont val="Arial"/>
        <family val="2"/>
      </rPr>
      <t xml:space="preserve">* Guía del sistema de autoevaluación sanitaria de Investigación Clínica, banco de tejidos (ocular-osteomuscular), medicamentos - IPS.
* Cargue de guía en el sistema de autoevaluación sanitaria de Investigación Clínica, banco de tejidos (ocular-osteomuscular), medicamentos - IPS.
* Pruebas de parte de la misional.
* Prueba con 3 establecimientos de guía del sistema de autoevaluación sanitaria.
</t>
    </r>
    <r>
      <rPr>
        <b/>
        <sz val="8"/>
        <rFont val="Arial"/>
        <family val="2"/>
      </rPr>
      <t xml:space="preserve">10.15 </t>
    </r>
    <r>
      <rPr>
        <sz val="8"/>
        <rFont val="Arial"/>
        <family val="2"/>
      </rPr>
      <t xml:space="preserve"> Documento de diagnóstico de la problemática sanitaria de Alimentos y Bebidas en el territorio Nacional
Las líneas de acción ya están establecidas para el plan de trabajo de 2018, responsabilidades de 046 de 2016, se evidencia matriz con actividades de construcción, líder del proyecto, responsables, qué se tiene, qué falta.
</t>
    </r>
    <r>
      <rPr>
        <b/>
        <sz val="8"/>
        <rFont val="Arial"/>
        <family val="2"/>
      </rPr>
      <t xml:space="preserve">10.16 </t>
    </r>
    <r>
      <rPr>
        <sz val="8"/>
        <rFont val="Arial"/>
        <family val="2"/>
      </rPr>
      <t>Se llevó a cabo reunión con los gremios y el Grupo Técnico de Articulación y Coordinación con las Entidades Territoriales de Salud.de la Dirección Alimentos y Bebidas para presentarles  las artes preliminares pero no fue posible  su implementación en   los almacenes de grandes superficies del país para los cuales estaban dirigidas. Se envía correo con observaciones al Grupo de Comunicaciones  para que se  tome una decisión respecto de la Campaña. 
Se llevó a cabo el fortalecimiento a las ETS  y vigilados mediante 17 asistencias técnicas.
Se realizó auditoría a ETS en 32 departamentos, a 6 distritos y a 4 municiipios.
Los  Indicadores  planteados en la formulación del proyecto cerraron asi:
1-PLANES DE MEJORAMIENTO FORMULADOS / PLANES DE MEJORAMIENTO SOLICITADOS)*100.                               Resultado del indicador al finalizar el proyecto: 10%.  Cumplimiento : 47 % . 
2- Nro. DE ENTIDADES QUE REPORTAN INFORMACION / Nro. DE  ETS OBLIGADAS A REPORTAR)*100 .                     Resultado del indicador al finalizar el proyecto: 10%.  Cumplimiento:  76,32%.
3- No ESTABLECIMIENTOS QUE IMPLEMENTAN ESTRATEGIA IEC / No ESTABLECIMIENTOS INTERESADOS) * 100. Resulatdo del indicador al finalizar el proyecto:  50%.  No cumplido.
Se evidencia  elaboración del informe del proyecto, el cual es incluido dentro del informe de gestión presentado al Director General. Se cierra proyecto.</t>
    </r>
    <r>
      <rPr>
        <b/>
        <sz val="8"/>
        <rFont val="Arial"/>
        <family val="2"/>
      </rPr>
      <t xml:space="preserve">
10.17. </t>
    </r>
    <r>
      <rPr>
        <sz val="8"/>
        <rFont val="Arial"/>
        <family val="2"/>
      </rPr>
      <t xml:space="preserve">Se hizo fortalecimiento técnico gastronómico en Valle del Cauca, Córdoba, Caquetá, Guaviare.
Información consolidada de establecimientos seleccionados (gastronómico). *Buenaventura: 14 establecimientos, *Caquetá: 10 establecimientos, *Córdoba; 11 establecimientos, *Guaviare: 8 establecimientos.
Se llevó a cabo acompañamiento en cuanto a fortalecimiento a entidades (postconflicto) en Arauca, Buenaventura, Caquetá y Guaviare.
En cuanto a Fortalecimiento a establecimientos (postconflicto indígenas y campesinos) se desarrolló convenio con las FAC y con el ejército Nacional. Los temas de fortalecimiento técnico se basaron en Buenas prácticas de fabricación de alimentos, Instituciones sanitarias, transporte y comercialización, rotulado alimentario, proceso de inscripción a establecimientos,normatividad de derivados lácteos,registros sanitarios, rotulado específico,con un cumplimiento del cronograma de 100%.
Se diseño la cartilla Requisitos Sanitarios para la fabricación de Alimentos y Bebidas. </t>
    </r>
    <r>
      <rPr>
        <b/>
        <sz val="8"/>
        <rFont val="Arial"/>
        <family val="2"/>
      </rPr>
      <t xml:space="preserve">
10.18 </t>
    </r>
    <r>
      <rPr>
        <sz val="8"/>
        <rFont val="Arial"/>
        <family val="2"/>
      </rPr>
      <t xml:space="preserve">  Se ha realizado por parte del contratista las trece (13) entregas contratadas, cada una de 35 piezas publicitarias, para un total  de 455.  Se evidencia en el Grupo Técnico de IVC  matriz con la consolidación y análisis de resultados de las mismas asi: *Alimentos, 260 y *Bebidas Alcohólicas, 195
Se hizo acciones de sensibilización a los GTTs y ETS, pendiente la Industria.</t>
    </r>
    <r>
      <rPr>
        <b/>
        <sz val="8"/>
        <rFont val="Arial"/>
        <family val="2"/>
      </rPr>
      <t xml:space="preserve">
10.19   </t>
    </r>
    <r>
      <rPr>
        <sz val="8"/>
        <rFont val="Arial"/>
        <family val="2"/>
      </rPr>
      <t xml:space="preserve"> La  herramienta de búsqueda quedó inmersa dentro de la solución tecnológica desarrollada por la Oficina de Tecnologías de la Información y ha sido implementada en Invima a un click. Se crea base de datos con los establecimientos competencia de la Dirección y se encuentran registrados en Invima a un click.
Se realizó trabajo de campo para la evaluación de la calidad, seguridad, eficacia, y gestión del riesgo de los medicamentos comercializados y/o utilizados en Colombia mediante vistas a Laboratorios, cinco  (5)  a nivel  nacional y cuatro (4) en Bogotá. 
</t>
    </r>
    <r>
      <rPr>
        <b/>
        <sz val="8"/>
        <rFont val="Arial"/>
        <family val="2"/>
      </rPr>
      <t xml:space="preserve">10.20  </t>
    </r>
    <r>
      <rPr>
        <sz val="8"/>
        <rFont val="Arial"/>
        <family val="2"/>
      </rPr>
      <t xml:space="preserve">El proyecto presenta algunos retrasos en actividades específicas que deben ser revisados .
La propuesta de requisitos sanitarios fue enviada a la Oficina Asesora Jurídica para revisión y observaciones, una vez finalizado este proceso dicha propuesta fue remtida a la DIAN en el mes de Noviembre con el fin de que esta entidad la revise y realice las observaciones pertinentes para posteriormente realizar la inclusión de los lineamientos de este documento en la normatividad vigente para importadores y exportadores.
La Dirección de Operaciones Sanitarias esta en el proceso de proyectar la comunicación para la DIAN con la solicitud de información sobre determinación de volumenes de ingreso de productos al país.
El procedimiento de inspección para importación y exportación de alimentos (…… ) se encuentra revisado, modificado y ajustado y será remitido para publicación en el mapa de procesos de la entidad.
</t>
    </r>
  </si>
  <si>
    <r>
      <t xml:space="preserve">
</t>
    </r>
    <r>
      <rPr>
        <b/>
        <sz val="8"/>
        <rFont val="Arial"/>
        <family val="2"/>
      </rPr>
      <t xml:space="preserve">11.2 </t>
    </r>
    <r>
      <rPr>
        <sz val="8"/>
        <rFont val="Arial"/>
        <family val="2"/>
      </rPr>
      <t xml:space="preserve">El 10 de octubre de 2017 la Dirección de Alimentos y Bebidas radica control de cambios solicitando </t>
    </r>
    <r>
      <rPr>
        <b/>
        <sz val="8"/>
        <rFont val="Arial"/>
        <family val="2"/>
      </rPr>
      <t>suspensión</t>
    </r>
    <r>
      <rPr>
        <sz val="8"/>
        <rFont val="Arial"/>
        <family val="2"/>
      </rPr>
      <t xml:space="preserve"> del proyecto.</t>
    </r>
    <r>
      <rPr>
        <b/>
        <sz val="8"/>
        <rFont val="Arial"/>
        <family val="2"/>
      </rPr>
      <t xml:space="preserve">
11.3 </t>
    </r>
    <r>
      <rPr>
        <sz val="8"/>
        <rFont val="Arial"/>
        <family val="2"/>
      </rPr>
      <t>MERCADOS ABIERTOS: 
1)Unión Europea: Productos compuestos, mercado abierto para la exportación de productos compuestos elaborados con materia prima colombiana con base en la aprobación del PNRQ de lácteos. 
2) Perú: Porcino, Mercado abierto para la exportación de carne porcina a Perú.
APROVECHAMIENTO DE MERCADOS: 
Se evidencia que el mercado bovino tuvo una representación del 44% con relación al total de las exportaciones de los mercados competencia del invima,
De 52 mercados abiertos, 13 son de carne bovina de los cuales se aprovecharon 8.</t>
    </r>
    <r>
      <rPr>
        <b/>
        <sz val="8"/>
        <rFont val="Arial"/>
        <family val="2"/>
      </rPr>
      <t xml:space="preserve">
11.4 </t>
    </r>
    <r>
      <rPr>
        <sz val="8"/>
        <rFont val="Arial"/>
        <family val="2"/>
      </rPr>
      <t xml:space="preserve"> Generando mecanismos que simplifiquen la emisión de registros sanitarios o el reconocimiento de los registros sanitarios emitidos por Invima, nuevamente la plataforma de la Alianza del Pacífico fue estratégica para este propósito. En la ronda de Alianza del Pacífico (11-13 de diciembre, Bogotá) se presentó la primera versión de Anexo que contempla las solicitudes de la industria y que permitirá a la región fortalecer la vigilancia de dispositivos médicos basado en la gestión del riesgo y que adicionalmente contempla la figura de reconocimiento de registro sanitario.
* Suplementos dietarios: En la ronda de grupos técnicos (4 -5 de octubre, Santiago de Chile) se acordaron las Reglas de Procedimiento para el Grupo de Trabajo, el cual fue creado oficialmente.</t>
    </r>
  </si>
  <si>
    <r>
      <t xml:space="preserve">12.4 </t>
    </r>
    <r>
      <rPr>
        <sz val="8"/>
        <rFont val="Arial"/>
        <family val="2"/>
      </rPr>
      <t xml:space="preserve">Durante la semana del 7 al 10 de Noviembre se realizó la auditoría externa de Icontec la cual dio como resultado mantener la certificación en las normas NTC GP1000:2009 e ISO 9001:2015, adicionalmente se actualizó la certificación del sistema de gestión de calidad de ISO 9001 a la versión 2015. De igual forma se continuaron con los acompañamientos de todos los macroprocesos y procesos del Instituto relacionados con indicadores, acciones de mejora, riesgos y actualización de documentos del sistema. </t>
    </r>
    <r>
      <rPr>
        <b/>
        <sz val="8"/>
        <rFont val="Arial"/>
        <family val="2"/>
      </rPr>
      <t xml:space="preserve">
12.5 </t>
    </r>
    <r>
      <rPr>
        <sz val="8"/>
        <rFont val="Arial"/>
        <family val="2"/>
      </rPr>
      <t xml:space="preserve">La Oficina de atención al ciudadano en el IV trimestre realizó 2 registratones en las ciudades de Cali e Ibagué atendiendo un total de 123 usuarios y radicando un total de 163 trámites de alimentos y cosméticos.A partir del 18 de octubre de 2017, en el grupo de trabajo territorial  occidente 1 en la ciudad de Medellín se empezó a recibir y radicar tramites de alimentos (registros sanitarios, permisos sanitarios, notificaciones sanitarias y modificaciones), a la fecha a se han radicado 44 tramites. Adiciona, se han realizado capacitaciones con las áreas misionales en temas tales como (procedimiento de los tramites automáticos de Dispositivos médicos y otras tecnologías, capacitación del nuevo trámite Autorización de uso exclusivo en alimentación y salud humana de Organismos Vivos Modificados – OVM, Revisión de trámites automáticos de medicamentos y productos biológicos)
</t>
    </r>
  </si>
  <si>
    <r>
      <rPr>
        <b/>
        <sz val="8"/>
        <rFont val="Arial"/>
        <family val="2"/>
      </rPr>
      <t>14.5</t>
    </r>
    <r>
      <rPr>
        <sz val="8"/>
        <rFont val="Arial"/>
        <family val="2"/>
      </rPr>
      <t xml:space="preserve"> lSe realió el diagnóstico de las necesidades de información  de cada uno  de los procesos involucrados en el proceso sancionatorio, se estandarizarón los documentos de cada uno de los procesos involucrados en el proceso sancionatorio, se determinarón los recursos requeridos para el desarrollo y puesta en funcionamiento del sistema de información en una segunda fase
y se Identificarón y diseñarón los mecanismos tecnológicos requeridos para apalancar el proceso y facilitar la toma de decisiones, lo que permitirá identificar, ordenar, administrar y asegurar la información de las actividades transversales realizadas dentro de los procesos de Inspección, control sanitatrio, administración de cobro coactivo, gestión contable, gestión de tesoreria y control de calidad de productos del Instituto para la gestión del proceso sancionatorio..
</t>
    </r>
    <r>
      <rPr>
        <b/>
        <sz val="8"/>
        <rFont val="Arial"/>
        <family val="2"/>
      </rPr>
      <t xml:space="preserve">14.6  </t>
    </r>
    <r>
      <rPr>
        <sz val="8"/>
        <rFont val="Arial"/>
        <family val="2"/>
      </rPr>
      <t>Este proyecto fortaleció los procesos asociados al registro sanitario, con un avance por proceso así:
Fortalecer el sistema de Registro Sanitario 100%
Fortalecer el sistema de SIVICOS 100%
Fortalecer el sistema de IVC - Puertos 97%
Fortalecer el sistema de SE Suite 90%
Implantar el Normograma 100%
Fortalecer el sistema de IVC - SOA 100%</t>
    </r>
    <r>
      <rPr>
        <b/>
        <sz val="8"/>
        <rFont val="Arial"/>
        <family val="2"/>
      </rPr>
      <t xml:space="preserve">
14.7 </t>
    </r>
    <r>
      <rPr>
        <sz val="8"/>
        <rFont val="Arial"/>
        <family val="2"/>
      </rPr>
      <t>Se cumplio con el objeto del objeto con el cual se Instaló una solución tecnológica que soporte la funcionalidad de los laboratorios del Invima, por valor de $700.000.000, en el cual se ejecutó el despliegue de la solución sobre la infraestructura tecnológica del Invima, para iniciar la implementación de la gestión de información de los laboratorios</t>
    </r>
    <r>
      <rPr>
        <b/>
        <sz val="8"/>
        <rFont val="Arial"/>
        <family val="2"/>
      </rPr>
      <t xml:space="preserve">
14.8 </t>
    </r>
    <r>
      <rPr>
        <sz val="8"/>
        <rFont val="Arial"/>
        <family val="2"/>
      </rPr>
      <t>Para el objeto del proyecto: Diseñar, crear e implementar un Datamar aplicado al sistema de información de Registros Sanitarios, se realizarón por parte de la Oficina de Tecnologías de la información las accciones necesarias para el desarrollo, contratación y cumplimiento del objeto del proyecto, encontrandose dificultades por parte del contratista en el cumplimiento de los entregables del proyect.</t>
    </r>
    <r>
      <rPr>
        <b/>
        <sz val="8"/>
        <rFont val="Arial"/>
        <family val="2"/>
      </rPr>
      <t xml:space="preserve"> De acuerdo a lo informado por esta oficina no continuará en la siguiente vigencia ya que los recursos no se tenian presupuestados para tal fin.</t>
    </r>
    <r>
      <rPr>
        <sz val="8"/>
        <rFont val="Arial"/>
        <family val="2"/>
      </rPr>
      <t xml:space="preserve"> 
Respecto a los riesgos no se materializó ninguno de los consigandos en la hoja de vida.</t>
    </r>
    <r>
      <rPr>
        <b/>
        <sz val="8"/>
        <rFont val="Arial"/>
        <family val="2"/>
      </rPr>
      <t xml:space="preserve">
14.9 </t>
    </r>
    <r>
      <rPr>
        <sz val="8"/>
        <rFont val="Arial"/>
        <family val="2"/>
      </rPr>
      <t xml:space="preserve">En ejecución convenio suscrito con Innpulsa, mediante el cual el solucionador Heinsohn Bussiness Technology S.A. está trabajando en un software que permitirá a la industria ingresar solicitudes de trámites y soportes respectivos, así como realizar seguimiento del estado del trámite vía web. Se ha avanzado con el proceso de atención al ciudadano en la creación de los servicios como registro de empresas y usuarios, gestión de los datos y la modelación en BPMn, y el trámite de evaluación farmacológica en todas la modalidades. 
Se desarrollo en la web los trámites, se encuentra en fase de pruebas (cosmeticos, alimentos, dispositivos, medicamnetos y comisión revisora), se encuentra en pruebas el proceso de atención al ciudadano y registros sanitarios para todos los productos.
En la página web se encuentra disponible el registro de empresas, el trámite de evaluación farmacologica y trámite de registros sanitarios, se encuentran en proceso de despliegue y pruebas para cosméticos, alimentos y dispositivos médicos. </t>
    </r>
    <r>
      <rPr>
        <b/>
        <sz val="8"/>
        <rFont val="Arial"/>
        <family val="2"/>
      </rPr>
      <t xml:space="preserve">
14.10 </t>
    </r>
    <r>
      <rPr>
        <sz val="8"/>
        <rFont val="Arial"/>
        <family val="2"/>
      </rPr>
      <t xml:space="preserve">El proyecto se cumplio con la adquisición de la infraestructura tecnológica acorde a las necesidades de la Insitutución, como es el Licenciamiento y renovación y SE Suite - Microsoft y seguridades, el soporte Soporte Premier Microsoft, Soporte y actualización, licencias Oracle, Licenciamiento y renovación Aranda Software, IPV6, Consultoría LifeRay y Red Hat, Renovación equipos servidores para el Data Center (sefvidores + almacenamiento + DRP Montevideo)., Equipos de computo, Tablets, Impresoras, Scanner, Switches, Videoconferencia, Equipos de proyección virtual, Appliance de Inspección email. 
</t>
    </r>
  </si>
  <si>
    <r>
      <t xml:space="preserve">16.5 </t>
    </r>
    <r>
      <rPr>
        <sz val="8"/>
        <rFont val="Arial"/>
        <family val="2"/>
      </rPr>
      <t xml:space="preserve">Se hizo lo úlitima convocatoria 2017 para acceso a los programas de educación formal, se postularon tres servidores públicos a los cuales se les aprobó las solicitudes el día 18 de diciembre de 2017.
Matriz de consolidación, seguimiento y aprobación de las solicitudes nuevas y renovaciones  para acceso a los programas de educación formal presentadas por servidores públicos y llevadas  ante la comisión de personal de Invima el día 18 de diciembre de 2017, y mediante oficio # 0204-0071-18 de Enero de 2018 se presentó ante el Icetex.  </t>
    </r>
    <r>
      <rPr>
        <b/>
        <sz val="8"/>
        <rFont val="Arial"/>
        <family val="2"/>
      </rPr>
      <t xml:space="preserve">
16.6 </t>
    </r>
    <r>
      <rPr>
        <sz val="8"/>
        <rFont val="Arial"/>
        <family val="2"/>
      </rPr>
      <t xml:space="preserve"> Se realizaron ocho cursos de capacitación a 1080 servidores públicos, a los cuales se les hace seguimiento de impacto y evaluación  a los participantes al finalizar cada curso.</t>
    </r>
  </si>
  <si>
    <r>
      <t xml:space="preserve">17.3 </t>
    </r>
    <r>
      <rPr>
        <sz val="8"/>
        <rFont val="Arial"/>
        <family val="2"/>
      </rPr>
      <t xml:space="preserve">La Universidad de Antioquia realizó los diseños y fabricación de los instrumentos o equipos para los ensayos de evaluación de calidad  de protesis mamarias y sonda urinarias. Se realizarón pruebas con estos dispositivos médicos proporcionados por la Universidad tanto en las instalaciones del Invima, capacitando a los analistas en el uso del equipo y en la metodologia del ensayo para lo cual se ensayon un total de 8 protesis mamarias de diferentes volumenes a las cuales el ensayo evaluado fue el de impacto. En referencia a las sondas se evaluaron aproximadamente 20 sondas de diferentes calibres para realizar el ensayo correspondiente. Se recibieron los informes de cada dispositivos de acuerdo al cronograma establecido en cuanto a productos. Actualmente los equipos se encuentran en las instalaciones del laboratorio del Invima. </t>
    </r>
  </si>
  <si>
    <r>
      <rPr>
        <b/>
        <sz val="8"/>
        <rFont val="Arial"/>
        <family val="2"/>
      </rPr>
      <t>2.1</t>
    </r>
    <r>
      <rPr>
        <sz val="8"/>
        <rFont val="Arial"/>
        <family val="2"/>
      </rPr>
      <t xml:space="preserve"> "Realizar Reunión de socialización del banco de experiencias de cooperación internacional y buenas practicas regulatorias  con las diferentes dependencias del INVIMA" no se llevó a cabo en la reinducción institucional tal como se programo, la Oficina Asesora de Planeación sugiere radicar control de cambios en el que se ajuste la actividad y/o fecha de cumplimiento de la misma acorde a la manera en que la Oficina de Asuntos Internacionales determine la socialización a las diferentes dependencias del banco de experiencias de cooperación internacional.
</t>
    </r>
    <r>
      <rPr>
        <b/>
        <sz val="8"/>
        <rFont val="Arial"/>
        <family val="2"/>
      </rPr>
      <t>2.2</t>
    </r>
    <r>
      <rPr>
        <sz val="8"/>
        <rFont val="Arial"/>
        <family val="2"/>
      </rPr>
      <t xml:space="preserve"> En Comité Institucional de Desarrollo Administrativo Ordinario del Octubre 30 de 2017 se realiza la socialización de los lineamientos frente a convenios, contratos y otras figuras de coordinación interinstitucional y frente a instrumentos de cooperación internacional.</t>
    </r>
    <r>
      <rPr>
        <b/>
        <sz val="8"/>
        <rFont val="Arial"/>
        <family val="2"/>
      </rPr>
      <t xml:space="preserve">
2.4</t>
    </r>
    <r>
      <rPr>
        <sz val="8"/>
        <rFont val="Arial"/>
        <family val="2"/>
      </rPr>
      <t xml:space="preserve"> El proyecto ha sido ELIMINADO mediante control de cambios radicado por la Gerente del "Programa de cooperación Internacional", Dra. Maria Sánchez, mediante correo electrónico del mié 17/01/2018 04:19 p.m..</t>
    </r>
    <r>
      <rPr>
        <b/>
        <sz val="8"/>
        <rFont val="Arial"/>
        <family val="2"/>
      </rPr>
      <t xml:space="preserve">
2.5</t>
    </r>
    <r>
      <rPr>
        <sz val="8"/>
        <rFont val="Arial"/>
        <family val="2"/>
      </rPr>
      <t xml:space="preserve">  Del 18 al 20 de septiembre de 2017 en la ciudad de Ottawa (Canadá), se llevó a cabo la reunión del Comité Directivo del Foro internacional de reguladores de dispositivos médicos (International Medical Device Regulators Forum – IMDRF), la cual contó con la participación del INVIMA.
Se realizó,la VII Reunión de las Autoridades Reguladoras Nacionales (ARN) para el Fortalecimiento de la Capacidad Reguladora de los dispositivos médicos en la Región de las Américas en Ottawa, Canadá los días 21 y 22 de septiembre del 2017. En esta última sesión participaron 26 representantes de ARNs de 18 países.</t>
    </r>
  </si>
  <si>
    <r>
      <t xml:space="preserve">
5.4 </t>
    </r>
    <r>
      <rPr>
        <sz val="8"/>
        <rFont val="Arial"/>
        <family val="2"/>
      </rPr>
      <t>Para la socialización de resultados se realizó reunión con Porkolombia el 27 de diciembre de 2017,con el fin de dar a conocer los resultados obtenidos durante el muestreo realizado de Trichinella en Plantas de Beneficio de la Especie Porcina. 
En la  evaluación de riesgo se solicito reunión con la UERIA para el 28 de enero de 2018 mediante correo electronico enviado el 15 de enero de 2018. Cierre de proyecto.</t>
    </r>
    <r>
      <rPr>
        <b/>
        <sz val="8"/>
        <rFont val="Arial"/>
        <family val="2"/>
      </rPr>
      <t xml:space="preserve">
El proyecto 5.7 se divide en los siguientes:
5.7.1</t>
    </r>
    <r>
      <rPr>
        <sz val="8"/>
        <rFont val="Arial"/>
        <family val="2"/>
      </rPr>
      <t xml:space="preserve"> Se han identificado 14 resultados no conformes por presencia de un microorganismo denominado pseudomona frente a lo cual se han enviado las directrices a la Dirección de Operaciones Sanitarias para realizar las acciones de intervención que consistente en la verificación en la fabrica de la existencia del lote y proceder a hacer la respectiva recogida del producto así como  las condiciones de buenas prácticas de manufactura y en caso de no encontrarlo en la fabrica realizar la trazabilidad y ubicar el sitio donde se esta comercializando y coordinar la recogida del producto.
Se requiere de manera inmediata establecer una fecha de compromiso de entrega de resultados por parte del laboratorio Invima toda vez que la actividad de análisis de laboratorio es una actividad crítica dentro del proyecto ya que el retraso en ella generará retrasos en las actividades y fases posteriores incumpliendo así en el tiempo establecido para ejecución del proyecto en el cronograma de trabajo.</t>
    </r>
    <r>
      <rPr>
        <b/>
        <sz val="8"/>
        <rFont val="Arial"/>
        <family val="2"/>
      </rPr>
      <t xml:space="preserve">
5.7.2  S</t>
    </r>
    <r>
      <rPr>
        <sz val="8"/>
        <rFont val="Arial"/>
        <family val="2"/>
      </rPr>
      <t>e han tomado 28 muestras y se esta a la espera de 4 actas por parte de la Dirección de Operaciones Sanitarias para completar el total de las muestras del proyecto.
El número de muestras del proyecto se disminuye de 50 a 32 debido a que la planta ATUNEC no realizó las exportaciones que tenia planeado hacer el 2017.</t>
    </r>
    <r>
      <rPr>
        <b/>
        <sz val="8"/>
        <rFont val="Arial"/>
        <family val="2"/>
      </rPr>
      <t xml:space="preserve">
</t>
    </r>
    <r>
      <rPr>
        <sz val="8"/>
        <rFont val="Arial"/>
        <family val="2"/>
      </rPr>
      <t>El proyecto finaliza su etapa de ejecución y análisis dentro de los tiempos establecidos y con un margen pequeño de retraso que puede ser solucionado antes de finalizar el mes de enero por lo que se hace necesario consolidar las4 muestras que faltan y los 2 resultados de laboratorio</t>
    </r>
    <r>
      <rPr>
        <b/>
        <sz val="8"/>
        <rFont val="Arial"/>
        <family val="2"/>
      </rPr>
      <t xml:space="preserve">
5.7.3 S</t>
    </r>
    <r>
      <rPr>
        <sz val="8"/>
        <rFont val="Arial"/>
        <family val="2"/>
      </rPr>
      <t>e han tomado 35 muestras de 66 programadas. 
Es necesario establecer si el proyecto va a terminar su etapa de ejecución y análisis con las muestras tomadas en 2017 o si las muestras que hicieron falta pueden ser tomadas en la vigencia 2018 siempre y cuando se contemplen las restricciones transporte, insumos y capacidad de la Dirección de Operaciones Sanitarias y la Oficina de Laboratorios del Invima.
Se han recibido 17 resultados de laboratorio de los cuales no se han presentado resultados no conformes.</t>
    </r>
    <r>
      <rPr>
        <b/>
        <sz val="8"/>
        <rFont val="Arial"/>
        <family val="2"/>
      </rPr>
      <t xml:space="preserve">
5.7.4 </t>
    </r>
    <r>
      <rPr>
        <sz val="8"/>
        <rFont val="Arial"/>
        <family val="2"/>
      </rPr>
      <t>En el desarrollo del proyecto se han identificado 24 resultados no conformes por presencia de Listeria frente a lo cual se han enviado las directrices a la Dirección de Operaciones Sanitarias para realizar las acciones de intervención que consisten en la verificación en la fabrica de la existencia del lote y proceder a hacer la respectiva recogida del producto así como  las condiciones de buenas prácticas de manufactura, almacenamiento y temperatura del producto y en caso de no encontrarlo en la fabrica realizar la trazabilidad y ubicar el sitio donde se esta comercializando y coordinar la recogida del product</t>
    </r>
    <r>
      <rPr>
        <b/>
        <sz val="8"/>
        <rFont val="Arial"/>
        <family val="2"/>
      </rPr>
      <t xml:space="preserve">
5.7.5 </t>
    </r>
    <r>
      <rPr>
        <sz val="8"/>
        <rFont val="Arial"/>
        <family val="2"/>
      </rPr>
      <t>El proyecto ha concluido la fase de ejecución y análisis en donde se deben aclarar aspectos como el número total de las muestras y solicitar la entrega de análisis de laboratorio con el fin de evitar retrasos en el cronograma de trabajo establecido.</t>
    </r>
    <r>
      <rPr>
        <b/>
        <sz val="8"/>
        <rFont val="Arial"/>
        <family val="2"/>
      </rPr>
      <t xml:space="preserve">
El proyecto 5.8 se divide en los siguientes:
5.8.1 </t>
    </r>
    <r>
      <rPr>
        <sz val="8"/>
        <rFont val="Arial"/>
        <family val="2"/>
      </rPr>
      <t xml:space="preserve"> Se han reportado 94 muestras tomadas de 100 programadas para un avance del 94%, por lo que esta revisando con la Dirección de Operaciones Sanitarias la remisión o confirmación de la toma de muestras que faltan. En el desarrollo del proyecto se han identificado 28 resultados no conformes por presencia de Listeria frente a lo cual se han remitido las directrices de intervención a la Dirección de Operaciones Sanitarias que consisten e verificar si el producto esta en planta y realizar la trazabilidad para del mismo para proceder a su recogida. Se realizan recomendaciones a los fabricantes sobre las condiciones de almacenamiento y temperatura del producto en la fabrica.</t>
    </r>
    <r>
      <rPr>
        <b/>
        <sz val="8"/>
        <rFont val="Arial"/>
        <family val="2"/>
      </rPr>
      <t xml:space="preserve">
5.8.2 </t>
    </r>
    <r>
      <rPr>
        <sz val="8"/>
        <rFont val="Arial"/>
        <family val="2"/>
      </rPr>
      <t xml:space="preserve"> Se ha tomado el 100% de las muestras programadas en el plan en total 180 muestras, no se han recibido análisis por parte del laboratorio Invima
Recomendación: a pesar de ser un proyecto de levantamiento de información se requiere que los análisis de laboratorio sean remitidos en el mes de enero a la Dirección de Alimentos toda vez que dicha actividad se considera crítica dentro del proyecto pues el retraso de la misma genera retrasos en las fases posteriores y por lo tanto en el cumplimiento del cronograma establecido. Es necesario acordar  con el laboratorio Invima una fecha de compromiso de resultados</t>
    </r>
    <r>
      <rPr>
        <b/>
        <sz val="8"/>
        <rFont val="Arial"/>
        <family val="2"/>
      </rPr>
      <t xml:space="preserve">
5.8.3 L</t>
    </r>
    <r>
      <rPr>
        <sz val="8"/>
        <rFont val="Arial"/>
        <family val="2"/>
      </rPr>
      <t>a toma de muestras del proyecto que debía finalizarse en el mes de Diciembre presenta un retraso en su ejecución, esta situación fue evidenciada desde la tutoría pasada y los inconvenientes frente a la dificultad  para seccionar la muestra congelada y su trasporte fue puesta en conocimiento ante el Comité tripartita en donde las partes: Dirección de Operaciones Sanitarias, Dirección de Alimentos y Oficina de Laboratorios se comprometieron a buscar los mecanimos de apoyo y las estrategias para lograr el avance del proyecto, dentro de dichas consideraciones se estableció buscar la ayuda de los laboratorios departamentales para el fraccionamiento de las muestras y así poder transportalas hasta el laboratorio Invima para su análisis. En el desarrollo del proyecto no se acogierón las recomendaciones hechas por el tutor y el proyecto nuevamente finaliza con un número de muestras muy por debajo de lo programado.
Acoger las recomendaciones realizadas en las tutorias ya que ellas son una herramienta de ayuda en la gestión del mismo para este proyecto es necesario establecer la viabilidad de terminar la toma de muestras en la vigencia 2018 y el ajuste en la fechas de cierre y terminación todo esto siempre y cuando se tenga claro la disponibilidad de recursos para la toma y fraccionamiento de muestras, transporte, insumos y capacidad del laboratorio Invima. 
Es necesario determinar en conjunto con el Laboratorio Invima una fecha de compromiso de entrega de resultados teniendo en cuenta que esta actividad es considerada crítica para el avance del proyecto ya que un retraso en ella genera retrasos en las fases y actividades posteriores.</t>
    </r>
    <r>
      <rPr>
        <b/>
        <sz val="8"/>
        <rFont val="Arial"/>
        <family val="2"/>
      </rPr>
      <t xml:space="preserve">
5.8.4  </t>
    </r>
    <r>
      <rPr>
        <sz val="8"/>
        <rFont val="Arial"/>
        <family val="2"/>
      </rPr>
      <t>Se ha tomado el 97% de las muestras (340), las 10 muestras que faltan serán tomadas en el mes de Enero y como evidencia se encuentra el correo remitido a la Dirección de Operaciones Sanitarias con la programación de las mismas.
 Debido a los inconvenientes presentados con el contrato de transporte en la vigencia 2017 y a que el GTT Costa Caribe II cambio de jurisdicción se presento el retraso en la toma de dichas muestras situación que ya fue solucionada.</t>
    </r>
    <r>
      <rPr>
        <b/>
        <sz val="8"/>
        <rFont val="Arial"/>
        <family val="2"/>
      </rPr>
      <t xml:space="preserve">
5.8.5 </t>
    </r>
    <r>
      <rPr>
        <sz val="8"/>
        <rFont val="Arial"/>
        <family val="2"/>
      </rPr>
      <t xml:space="preserve">Se tomaron el 100% de las muestras programadas en plan (500) y se ha realizado el análisis de 490 muestras por parte del laboratorio de la Universidad de Antioquia, las 10 muestras restantes se analizarán en el mes de Enero de la vigencia 2018.
El proyecto se desarrolla dentro de los tiempos establecidos en el cronograma de trabajo.
</t>
    </r>
  </si>
  <si>
    <r>
      <t>13.8</t>
    </r>
    <r>
      <rPr>
        <sz val="8"/>
        <rFont val="Arial"/>
        <family val="2"/>
      </rPr>
      <t xml:space="preserve">  Se realiza capacitación en el aplicativo sesuit para los tecnicos y profesionales con la colaboración de la Oficina de Tecnologías de la Información.
Se realizan las pruebas pertinentes en el aplicativo para la digitalización y cargue de documentos.</t>
    </r>
    <r>
      <rPr>
        <b/>
        <sz val="8"/>
        <rFont val="Arial"/>
        <family val="2"/>
      </rPr>
      <t xml:space="preserve">
13.9  </t>
    </r>
    <r>
      <rPr>
        <sz val="8"/>
        <rFont val="Arial"/>
        <family val="2"/>
      </rPr>
      <t>Suspendido</t>
    </r>
    <r>
      <rPr>
        <b/>
        <sz val="8"/>
        <rFont val="Arial"/>
        <family val="2"/>
      </rPr>
      <t xml:space="preserve">
13.10  </t>
    </r>
    <r>
      <rPr>
        <sz val="8"/>
        <rFont val="Arial"/>
        <family val="2"/>
      </rPr>
      <t>Se realiza la creación y publicación del botón de normograma con el fin de que los funcionarios y externos puedan consultar la normatividad en temas tales como Decreto único reglamentario del sector Salud y Protección Social, Normativa básica del normograma del Invima, Normativa aplicable al Instituto Nacional de Vigilancia de Medicamentos y Alimentos - Invima, Normativa aplicable al ministerio de Salud y Protección Social, Índice por temas, Normativa histórica, Normativa complementaria, Jurisprudencia y Doctrina Invima.</t>
    </r>
    <r>
      <rPr>
        <b/>
        <sz val="8"/>
        <rFont val="Arial"/>
        <family val="2"/>
      </rPr>
      <t xml:space="preserve">
13.11 </t>
    </r>
    <r>
      <rPr>
        <sz val="8"/>
        <rFont val="Arial"/>
        <family val="2"/>
      </rPr>
      <t>El Invima se pudo fortalecer aun mas en infraestructura fisica,  puestos de trabajo, areas de almacenamiento, de archivo y de analisis para las diferentes sedes administartivas y laboratorios,  a traves de los contratos que  permitieron  respaldar lo siguiente: 
1.suministro e instalacion de mobiliario para las sedes administrativas y laboratorios del invima.
2.realizar las adecuaciones locativas para las salas amigas y otras adecuaciones menores para las sedes administrativas del invima
3.  adquisicion, instalacion y puesta en funcionamiento del cableado estructurado para los nuevos puestos de trabajo de las sedes del invima ubicadas en chapinero, montevideo e ibague.
4. adquisicion, instalacion y puesta en funcionamiento del control de acceso para las dependencias del invima en chapinero, can, montevideo y sedes nacionales, integrado con la plataforma bytte acces.
5. adecuaciones  de la infraestructura fisica de los laboratorios del invima.</t>
    </r>
    <r>
      <rPr>
        <b/>
        <sz val="8"/>
        <rFont val="Arial"/>
        <family val="2"/>
      </rPr>
      <t xml:space="preserve">
13.12 </t>
    </r>
    <r>
      <rPr>
        <sz val="8"/>
        <rFont val="Arial"/>
        <family val="2"/>
      </rPr>
      <t xml:space="preserve">El proyecto presentó retrasos en varias de sus actividades dado principalmente a causas exógenas contemplada  dentro de los riesgos de ejecución del proyecto y que se lograron mitigar presentando los controles de cambios respectivos, se da continuidad para la vigencia 2018 adicionando 3 fases que contemplan: Fase Estudios Previos,  Fase Contratación y una Fase Cierre;  que permitan adecuar y dotar la sede adquirida para el fortalecimiento físico del archivo del Instituto. 
La fase 3 Compra y Legalización deberá extenderse hasta la vigencia 2018 acatando las recomendaciones dadas por la oficina Asesora jurada en la que indica: " Si el propietario está dispuesto a sanear la situación, deberá proceder inmediatamente a iniciar la actuación administrativa ante la Unidad Administrativa Especial de Catastro Distrital para obtener la “Resolución Catastral individual” y el “Certificado de Plano” que permitan adelantar la corrección de título antecedente para modificación de cabida y linderos y surtir así la compraventa en favor de la Entidad. De ser este el caso, podría suscribirse promesa de compraventa estableciendo con claridad la obligación a cargo del vendedor de radicar la documentación pertinente ante la Unidad Administrativa Especial de Catastro Distrital el presente año, así como su compromiso de mantener las condiciones de la negociación aún en caso que dicha entidad determine que el área del inmueble es inferior,”  proceso que ya se surtió. 
</t>
    </r>
  </si>
  <si>
    <r>
      <t>1</t>
    </r>
    <r>
      <rPr>
        <b/>
        <sz val="8"/>
        <rFont val="Arial"/>
        <family val="2"/>
      </rPr>
      <t xml:space="preserve">8.1 </t>
    </r>
    <r>
      <rPr>
        <sz val="8"/>
        <rFont val="Arial"/>
        <family val="2"/>
      </rPr>
      <t>Se realizó la evaluación Post facto del ejercicio de IVC a los funcionarios participantes  en Cali y Barranquilla el día 22 de diciembre.
Se llevó a cabo la capacitación de capacitadores por parte de UNODC  para el ejercicio IVC Sanitario Simulado/ Procedimiento Sancionatorio Sanitario Simulado  a cual se unió en una sola actividad cubriendo la totalidad de participantes selecionados: 15 para IVC y 15 para Procedimiento Sancionatorio durante  los días 18 y 19 de diciembre de 2017 en la ciudad de Bogotá. 
Se diseñó elexpediente pedagógico que contiene los casos abordados durante el ejercicio. 
Se llevó a cabo el encuentro Latinoamericano de Autoridades Sanitarias en la ciudad de Bogotá durante los días 20,21 y 22 de diciembre de 2017 donde se abordaron temas como Estructura y característcias de la Autoridad Sanitaria. Modelo Sancionatorio Sanitario en Chlie.Colombia, Cuba,Ecuador. México, El Salvador, Articulación de las Autoridades Sanitarias con otras instituciones, Análisis de contextso Sanitarios,priorización y abordaje de Ilagalidad, Regimen sancionatorio y graduación de las medidas/sanciones, retos y expectativas.</t>
    </r>
    <r>
      <rPr>
        <b/>
        <sz val="8"/>
        <rFont val="Arial"/>
        <family val="2"/>
      </rPr>
      <t xml:space="preserve">
18.2</t>
    </r>
    <r>
      <rPr>
        <sz val="8"/>
        <rFont val="Arial"/>
        <family val="2"/>
      </rPr>
      <t xml:space="preserve"> No se presenta avance de ninguna actividad, lo anterior obedece a que las actividades que estaban pendiente de cumplirse estaban sujetas a aceptación de algunos paises para la participación en el observatorio Nacional e Iberoamericano de lucha contera la ilegalidad de productos competencia del Invima, esta siotuación afectó significativamente el desarrollo de  este proyecto.</t>
    </r>
  </si>
  <si>
    <t>Afianzar el reconocimiento del Invima a nivel nacional e internacional como autoridad sanitaria y promotora de la cultura de la legalidad.</t>
  </si>
  <si>
    <t>Posicionar al Invima como la entidad que protege la salud de los colombianos</t>
  </si>
  <si>
    <t xml:space="preserve">Educar sanitariamente a los funcionariosdel invima y las Entidades Territoriales de Salud a nivel nacional en temas tratados bajo el procedimiento de unificación de criterios y con respecto a conceptos de alto impacto emitidos por la Oficina Asesora Jurídica generando espacios de análisis, concertación y solución de inquietudes frente a otros temas. </t>
  </si>
  <si>
    <t>Fortalecer los conocimientos generales que tienen los abogados del Invima con el fin de mitigar el daño antijurídico.</t>
  </si>
  <si>
    <t xml:space="preserve">Socializar las normas que sean modificadas, sustituidas o expedidas como norma nueva, mediante foros o conversatorios, en los cuales se dará una exposición jurídica y de acuerdo al tema se solicitará apoyo técnico. </t>
  </si>
  <si>
    <t xml:space="preserve">Fortalecer el proceso de capacitación y asistencia técnica a través de la Plataforma Aula Virtual Invima  aplicando la metodología de enseñanza/aprendizaje e-learning </t>
  </si>
  <si>
    <t xml:space="preserve"> Evaluar el aporte de las estrategias y acciones de las estrategias de cooperacion internacional del Invima (2012-2018) al fortalecimiento tecnico, cientîfico y regulatorio del Invima como agencia sanitaria de referencia regional</t>
  </si>
  <si>
    <t xml:space="preserve">Oficina Asesora Jurídica </t>
  </si>
  <si>
    <t>Oficina de Asuntos Internacionales</t>
  </si>
  <si>
    <t>Porcentaje de Avance Acumulado de los Programas Año 2018</t>
  </si>
  <si>
    <t>Descripción de los Avances por Programa Año 2018</t>
  </si>
  <si>
    <t xml:space="preserve">1.20 Fortalecimiento del Invima en la producción y publicación de información en vigilancia sanitaria y  lucha contra la ilegalidad </t>
  </si>
  <si>
    <t xml:space="preserve">1.21 Fortalecimienrto de la imagen del Invima como la autoridad sanitaria que protege la salud de los colombianos </t>
  </si>
  <si>
    <t>1.22 Ciclo de conversatorios sobre temas tratados de unificación de criterios y conceptos de alto impacto</t>
  </si>
  <si>
    <t>1.23 Colectivo Jurídico del Invima</t>
  </si>
  <si>
    <t>1.24 Foros Actualización Normativa</t>
  </si>
  <si>
    <t>1.25 Educación Sanitaria virtual del Programa Nacional de Tecnovigilancia (Fase IV)</t>
  </si>
  <si>
    <t>1.26 Escuela de Capacitación de Inspectores del Invima</t>
  </si>
  <si>
    <t>2_6_Evaluacion de las estrategias de cooperacion internacional al fortalecimiento de las capacidades tecnico, cientîfico y reguladoras del Invima (2012 -2018)</t>
  </si>
  <si>
    <t xml:space="preserve">4.1 Actualización del aplicativo Online para los reportes de los efectos indeseados asociados al uso de los reactivos de diagnóstico in vitro </t>
  </si>
  <si>
    <t>5.10 Monitoreo_2018</t>
  </si>
  <si>
    <t>5.9 Verificación 2018</t>
  </si>
  <si>
    <t>6.5 Verificación Macronutrientes-Fortificaciòn_2018</t>
  </si>
  <si>
    <t xml:space="preserve">Verificar   la concentracion  Macronutrientes, Minerales  en Complementos  Nutricionales  ( Res.  333  del  20011 )  y  Vitaminas  en  Fortificaciòn  de la Harinas   de  trigo  en Productos  de Panaderia  Nacionales  e Importados  segùn  Decreto  </t>
  </si>
  <si>
    <t>7.17. Acuicultura_2018</t>
  </si>
  <si>
    <t>7_18_Origen_Vegetal_2018</t>
  </si>
  <si>
    <t>7_19_Origen_Animal_2018</t>
  </si>
  <si>
    <t>9.10 Demuestra la Calidad de Dispositivos Médicos</t>
  </si>
  <si>
    <t>Ejercer acciones de vigilancia sanitaria bajo el enfoque de riesgo para los Dispositivos Médicos seleccionados mediante la verificación de su calidad y seguridad de acuerdo a los estándares técnicos nacionales e internacionales.</t>
  </si>
  <si>
    <t>9.11 DeMuestra La Calidad de Medicamentos 2018</t>
  </si>
  <si>
    <t>9.12 Demuestra la calidad cosméticos</t>
  </si>
  <si>
    <t>Dirección de Cosméticos, Aseo, Plaguicidas  y Productos de Higiene Doméstica</t>
  </si>
  <si>
    <t xml:space="preserve">Promover el cumplimiento de los requisitos sanitarios  de los distintos eslabones de la cadena cárnica a partir de las operaciones de beneficio animal hasta su comercialización, incluyendo fabricantes de derivados cárnicos </t>
  </si>
  <si>
    <t xml:space="preserve">10.23  Monitoreo de calidad de  medicamentos Biológicos Post marketing </t>
  </si>
  <si>
    <t>Fortalecer los procesos de  evaluación de la calidad y cumplimiento de BPM post marketing  en los  medicamentos comercializados  en Colombia</t>
  </si>
  <si>
    <t>10.24 Metodología estandarizada para la evaluación técnica y sanitaria en materia de expedición de registros sanitarios para la vigilancia sanitaria de los reactivos de diagnóstico In vitro para HIV</t>
  </si>
  <si>
    <t xml:space="preserve">Desarrollar una metodología estandarizada para la evaluación técnica y sanitaria en materia de expedición de registros sanitarios para la vigilancia sanitaria de los reactivos de diagnóstico In vitro para HIV. </t>
  </si>
  <si>
    <t>10.25 Levantamiento de información de buenas practicas, calidad, seguridad y eficacia  de los medicamentos estudiados por el Invima en pre y pos comercialización</t>
  </si>
  <si>
    <t xml:space="preserve">Levantar información para fortalecer y acelerar los procesos de  evaluación de la calidad, seguridad, eficacia  y gestión del riesgo de los medicamentos comercializados y/o utilizados en Colombia. </t>
  </si>
  <si>
    <t>Evaluar las acciones que permitieron resultados en el acceso sanitario y aprovechamiento de mercados internacionales en alimentos a través de una gestión articulada entre el INVIMA, autoridades nacionales e internacionales competentes, gremios e industria, desde 2012 a 2018</t>
  </si>
  <si>
    <t>11.6 Estrategia para el apoyo a la industria colombiana en la facilitación del comercio y aprovechamiento de mercados internacionales de interés para Medicamentos.</t>
  </si>
  <si>
    <t>Consolidar los mecanismos para la agilización o reconocimento de registros y certificaciones y evaluar su aporte a la facilitación de acceso a mercados internacionales de medicamentos fabricados en Colombia</t>
  </si>
  <si>
    <t>11.7 Mejoramiento del sistema nacional de control e inocuidad de alimentos de consumo Nacional y exportación bajo un enfoque de riesgo nacional</t>
  </si>
  <si>
    <t>12.6 Fortalecimiento a la Gestión del Cobro Persuasivo y Coactivo</t>
  </si>
  <si>
    <t xml:space="preserve">Realizar jornadas de normalización de cartera para  lograr acuerdos de pago a través del cobro persuasivo y/o coactivo para hacer
efectivas las acreencias a favor del Invima. </t>
  </si>
  <si>
    <t>12.7 Fortalecimiento de la cultura ambiental en el Invima</t>
  </si>
  <si>
    <t xml:space="preserve">Elaborar una estrategia de educación ambiental dirigida a los servidores del Invima, con el fin fortalecer la cultura ambiental institucional, divulgar los aspectos e impactos ambientales de mayor relevancia en las sedes de trabajo y mejorar el desempeño de los indicadores del sistema de gestión ambiental </t>
  </si>
  <si>
    <t>12.8 Desconcentración de trámites y servicios institucionales</t>
  </si>
  <si>
    <t>Fortalecer   la prestación de servicios en las regiones facilitando mecanismos para la orientación, recepción, radicación y estudio de trámites.</t>
  </si>
  <si>
    <t xml:space="preserve">13.13 Adecuación Infraestructura Física de la Sede Principal del INVIMA </t>
  </si>
  <si>
    <t>Dotar a la sede administrativa principal del INVIMA, de una escalera para evacuación de emergencia</t>
  </si>
  <si>
    <t>13.14 Remodelacion y Dotacion Infraestructura fisica INVIMA a nivel nacional</t>
  </si>
  <si>
    <t>13.15 Adquisición y dotación infraestructura física INVIMA a nivel nacional (Sede Pasto)</t>
  </si>
  <si>
    <t>Adquirir y adecuar un inmueble que sirva como sede para el grupo de apoyo a Nariño</t>
  </si>
  <si>
    <t>14.11 Implementación  del Portal Web Invima con Gestor de Contenido Liferay</t>
  </si>
  <si>
    <t>Implementar un Portal Web para el Invima con gestor de contenidos Liferay, adaptable a las nuevas tecnologías, que integre toda la información, trámites y servicios para la interacción con el Ciudadano, mejorando la usabilidad, accesibilidad y optimización del buscador para usuarios externos, así como facilitar mediante una intranet el acceso a la información y servicios para los usuarios internos de la Institución, acorde a las necesidades de la entidad y normatividad del Gobierno Nacional.</t>
  </si>
  <si>
    <t>Oficina de Tecnologías de la Información</t>
  </si>
  <si>
    <t>Implementar una solución que permita la planeación de Técnicos Inspectores y la programacion de visitas de inspección, vigilancia y control de las diferentes plantas de producción, establecimientos, puertos, aeropuertos y pasos fronterizos, así como, la programación de las visitas de certificación del Invima; componentes a integrar directamente con las herramientas tecnologicas utilizadas en ejecución de visitas IVC y de certificación (BPx).</t>
  </si>
  <si>
    <t>14.13 Fortalecimiento de la infraestructura tecnológica y computacional del Invima</t>
  </si>
  <si>
    <t>Fortalecer la infraestructura tecnológica y computacional del INVIMA</t>
  </si>
  <si>
    <t>Automatizar los trámites, procesos y servicios del Invima para construir una entidad más eficiente y transparente.</t>
  </si>
  <si>
    <t>14.15 Migración del arquitectura MVC a Microservicios</t>
  </si>
  <si>
    <t>Actualización de la arquitectura MVC de algunas soluciones tecnológicas a Microservicios</t>
  </si>
  <si>
    <t>Procesar los datos de las actas desde el año 1996 a 2017 y cargarlos a una base de datos estructurada, que permita la consulta de la información histórica, por ser parte de los antecedentes sanitarios para continuar algunos procesos como la solicitud de trámites de registros sanitarios de medicamentos y otros trámites asociados.</t>
  </si>
  <si>
    <t>14.17 Sistema de Información para los Laboratorios del Invima - Fase II</t>
  </si>
  <si>
    <t>Realizar la implementación de la solución LIMS en los grupos de Laboratorios Fisicoquímico y Microbiología de Alimentos y Bebidas del Invima</t>
  </si>
  <si>
    <t>14.18 Sistema de Gestión Integral</t>
  </si>
  <si>
    <t>Al Implementar solución tecnológica que permita diseñar, gestionar, documentar, medir, realizar seguimiento y establecer el mejoramiento, articulando la información referente sistema de gestión integrado del Invima se da solución a la problemática</t>
  </si>
  <si>
    <t>14.19 Sistema Integrado de Correspondencia y PQRDS</t>
  </si>
  <si>
    <t>Implementar un sistema integrado de  Corrrespondencia y PQRDS para el Instituto Nacional de Vigilancia de Medicamentos y Alimentos- Invima, que permita optimizar, racionalizar, simplificar, automatizar la radicación y gestionar las comunicaciones oficiales y peticiones, denuncias, quejas y reclamos, que cumpla con la normatividad vigente y de respuesta a las necesidades de la entidad.</t>
  </si>
  <si>
    <t>14.20 Sistematización de interfaces del modelo IVC SOA Invima</t>
  </si>
  <si>
    <t xml:space="preserve">Hacer eficiente el proceso de gestión de riesgos sanitario de toda la entidad, mediante la sistematización de las fuentes de información (módulos e interfaces) del modelo de Inspección, Vigilancia y Control basado en riesgos IVC SOA para los establecimientos objeto de vigilancia del Instituto. </t>
  </si>
  <si>
    <t>14.21 Sistema de Inspección, vigilancia y control sanitario - Sivicos 2</t>
  </si>
  <si>
    <t>Implementar una solución que permita la realización de todas las actividades, procedimientos y procesos directamente involucrados dentro del macroproceso de Inspección, Vigilancia y Control Sanitario, que permita el seguimiento en las actividades de importación, exportación, inspección y visitas para todos y cada uno de los productos y grupos de productos asociados a las Direcciones Misionales del INVIMA.</t>
  </si>
  <si>
    <t>14.22 Gestion Integral Procesos Sancionatorios</t>
  </si>
  <si>
    <t>Estructurar un sistema de información para la gestión del proceso de inspección vigilancia y control del Invima, por medio de la articulación de las áreas involucradas para poder tener la trazabilidad de los diferentes procesos que se llevan a cabo en el área de Responsabilidad Sanitaria.</t>
  </si>
  <si>
    <t xml:space="preserve">14.23 TRAZA - Reporte Regular de Información de Establecimientos </t>
  </si>
  <si>
    <t>Desarrollar e implementar una solución informática que permita el reporte periódico de información de los establecimientos vigilados; para ejercer una vigilancia sanitaria preventiva y eficaz, contando con información relevante de los establecimientos.</t>
  </si>
  <si>
    <t>Modelar e Implementar las buenas prácticas de ITIL, y el marco de referencia de Arquitectura Empresarial para la Gestión de TI asociados con la prestación de servicios de TI que permita establecer un modelo de gestión que soporte la definición, manejo y mantenimiento de los dichos servicios en el Invima.</t>
  </si>
  <si>
    <t>Establecer el modelo y los instrumentos necesarios para la gestión de información en el Instituto que permita el desarrollo del gobierno de los datos, seguridad de la información, la continuidad del negocio y la administración documental que apoyen y garanticen la normal prestación del servicio en el Invima.</t>
  </si>
  <si>
    <t xml:space="preserve">15.7 Modelo de Intercambio de Información e Interoperabilidad </t>
  </si>
  <si>
    <t xml:space="preserve">Habilitar una plataforma de integración exponiendo una serie de servicios los cuales serán consumidos al interior de la entidad, con entidades gubernamentales y de otros países. </t>
  </si>
  <si>
    <t>16,7 Capacitacion y actualizacion de los conocimientos del recurso humano del invima a nivel nacional</t>
  </si>
  <si>
    <r>
      <rPr>
        <b/>
        <sz val="8"/>
        <rFont val="Arial"/>
        <family val="2"/>
      </rPr>
      <t>El proyecto 5.7 se divide en los siguientes:</t>
    </r>
    <r>
      <rPr>
        <sz val="8"/>
        <rFont val="Arial"/>
        <family val="2"/>
      </rPr>
      <t xml:space="preserve">
</t>
    </r>
    <r>
      <rPr>
        <b/>
        <sz val="8"/>
        <rFont val="Arial"/>
        <family val="2"/>
      </rPr>
      <t xml:space="preserve">5.7.1 </t>
    </r>
    <r>
      <rPr>
        <sz val="8"/>
        <rFont val="Arial"/>
        <family val="2"/>
      </rPr>
      <t xml:space="preserve">: Una vez analizados los resultados se identifican ocho resultados rechazados por pseudomonas  para lo cual se ha enviado unas directricez para hacer acciones de IVC de manera inmediata.
</t>
    </r>
    <r>
      <rPr>
        <b/>
        <sz val="8"/>
        <rFont val="Arial"/>
        <family val="2"/>
      </rPr>
      <t xml:space="preserve">5.7.2: </t>
    </r>
    <r>
      <rPr>
        <sz val="8"/>
        <rFont val="Arial"/>
        <family val="2"/>
      </rPr>
      <t>Para completar la fase de cierre,  falta envio del informe al Grupo de Riesgos para su revisión, presentar y publicar informes de resultados.</t>
    </r>
    <r>
      <rPr>
        <b/>
        <sz val="8"/>
        <rFont val="Arial"/>
        <family val="2"/>
      </rPr>
      <t xml:space="preserve">
5.7.3:</t>
    </r>
    <r>
      <rPr>
        <sz val="8"/>
        <rFont val="Arial"/>
        <family val="2"/>
      </rPr>
      <t xml:space="preserve"> Una vez analizados los resultados se evidencia que no se encuentran hallazgo de colera en las muestras realizadas a productos de la pesca precocido, crudos, congelados y ultracongelados. Sin embargo es importante mencionar que este plan inicialmente se definido un total de 66 muestras  y solo tomo el 36% es decir 25 muestras incumplimiento que afecta este estudio en el sentido de que se ajusta el número de muestras que se requeria y que eran representativos segun el plan estadistico que lo soporta. Ante esta situación se recomienda definir con la DIROS un mecanismo que permita establecer planes de acción encaminados al cumplimiento del numero de muestras que requiera cada plan segun lo definido en los docuementos tecnicos aprobados por la Unidad de Riesgo.</t>
    </r>
    <r>
      <rPr>
        <b/>
        <sz val="8"/>
        <rFont val="Arial"/>
        <family val="2"/>
      </rPr>
      <t xml:space="preserve">
5.7.4: </t>
    </r>
    <r>
      <rPr>
        <sz val="8"/>
        <rFont val="Arial"/>
        <family val="2"/>
      </rPr>
      <t xml:space="preserve">Una vez analizados los resultados se identifican ocho se identifican a la fecha 17 resultados rechazados por listeria, salmonella, coliformes, etc para lo cual se ha enviado unas directricez para hacer acciones de IVC de manera inmediata.
</t>
    </r>
    <r>
      <rPr>
        <b/>
        <sz val="8"/>
        <rFont val="Arial"/>
        <family val="2"/>
      </rPr>
      <t xml:space="preserve">
5.7.5: </t>
    </r>
    <r>
      <rPr>
        <sz val="8"/>
        <rFont val="Arial"/>
        <family val="2"/>
      </rPr>
      <t xml:space="preserve">Falta envio del informe al Grupo de Riesgos para su revisión, presentar y publicar informes de resultados. Se presentan contratiempos en la totalidad de toma de muestras por diferencias en reporte contra actas de muestras por la DIROS y en la entrega de resultados analiticos por parte del laboratorio Invima no obstante entregaron el 100% de los resultados de muestras de recibidas, su entrega fue posterior a lo indicado en el cronograma y esto incide en la fase de ejecución y cierre
</t>
    </r>
    <r>
      <rPr>
        <b/>
        <sz val="8"/>
        <rFont val="Arial"/>
        <family val="2"/>
      </rPr>
      <t>El proyecto 5.8 se divide en los siguientes:</t>
    </r>
    <r>
      <rPr>
        <sz val="8"/>
        <rFont val="Arial"/>
        <family val="2"/>
      </rPr>
      <t xml:space="preserve">
</t>
    </r>
    <r>
      <rPr>
        <b/>
        <sz val="8"/>
        <rFont val="Arial"/>
        <family val="2"/>
      </rPr>
      <t xml:space="preserve">5.8.1 </t>
    </r>
    <r>
      <rPr>
        <sz val="8"/>
        <rFont val="Arial"/>
        <family val="2"/>
      </rPr>
      <t xml:space="preserve">: Se identifican ocho resultados rechazados por listeria para lo cual se ha enviado directrices para hacer acciones de IVC de manera inmediata.  Es de resaltar que las etapas de Planeación 2017 y ejecución y análisis 2017 se desarrollaron posterior a las fechas propuestas en el cronograma y al 2 de mayo aun no las han terminado. 
</t>
    </r>
    <r>
      <rPr>
        <b/>
        <sz val="8"/>
        <rFont val="Arial"/>
        <family val="2"/>
      </rPr>
      <t>5.8.2</t>
    </r>
    <r>
      <rPr>
        <sz val="8"/>
        <rFont val="Arial"/>
        <family val="2"/>
      </rPr>
      <t xml:space="preserve"> : De acuerdo a lo establecido en reunión Tripartita acerca de los Planes de Monitoero 2017 que requieren el total del muestreo para su analisis, se evidencia que de las 180 muestras programadas por la DAB del Plan de Muetsreo de Salmonella spp en piezas de pollo (muestreo de enjuague de piezas de pollo) , se recibio 159 resultados por parte del Laboratorio, 20 de estos rechazados por exceder el tiempo y la temperatura,  para lo cual se ha enviado unas directricez para hacer acciones de IVC de manera inmediata y quedan faltando 25 muestras para que sean tomadas por parte de la Dirección de Operaciones Sanitarias. Es de resaltar que las etapas de Planeación 2017 y ejecución y análisis 2017 se desarrollaron posterior a las fechas propuestas en el cronograma. 
</t>
    </r>
    <r>
      <rPr>
        <b/>
        <sz val="8"/>
        <rFont val="Arial"/>
        <family val="2"/>
      </rPr>
      <t>5.8.3:</t>
    </r>
    <r>
      <rPr>
        <sz val="8"/>
        <rFont val="Arial"/>
        <family val="2"/>
      </rPr>
      <t xml:space="preserve"> Se evidencia que se encuentran tres resultados rechazados por salmonella, para lo cual se ha enviado  directrices para hacer acciones de IVC de manera inmediata. Es de resaltar que las etapas de Planeación 2017 y ejecución y análisis 2017 se desarrollaron posterior a las fechas propuestas en el cronograma y al 2 de mayo aun no las han terminado. 
</t>
    </r>
    <r>
      <rPr>
        <b/>
        <sz val="8"/>
        <rFont val="Arial"/>
        <family val="2"/>
      </rPr>
      <t xml:space="preserve">5.8.4:  </t>
    </r>
    <r>
      <rPr>
        <sz val="8"/>
        <rFont val="Arial"/>
        <family val="2"/>
      </rPr>
      <t xml:space="preserve">De acuerdo a lo establecido en reunión Tripartita acerca de los Planes de Monitoero 2017 que requieren el total del muestreo para su analisis, se evidencia que de las 373 muestras programadas de Monitoreo de Campylobacter por la DAB, se recibio del Laboratorio 330 resultados, 3 de estos rechazados por exceder el tiempo y la temperatura,  para lo cual se ha enviado unas directricez para hacer acciones de IVC de manera inmediata y quedan faltando 46 muestras para que sean tomadas por parte de la Dirección de Operaciones Sanitarias. Es de resaltar que las etapas de Planeación 2017 y ejecución y análisis 2017 se desarrollaron posterior a las fechas propuestas en el cronograma. </t>
    </r>
    <r>
      <rPr>
        <b/>
        <sz val="8"/>
        <rFont val="Arial"/>
        <family val="2"/>
      </rPr>
      <t xml:space="preserve">
5.8.5: </t>
    </r>
    <r>
      <rPr>
        <sz val="8"/>
        <rFont val="Arial"/>
        <family val="2"/>
      </rPr>
      <t xml:space="preserve">Analizados los resultadosrecibidos del Laboratorio, se identifican cuatro resultados rechazados,  lo cual generó el envío de directricez para hacer acciones de IVC de manera inmediata.  Es de resaltar que las etapas de Planeación 2017 y ejecución y análisis 2017 se desarrollaron posterior a las fechas propuestas en el cronograma y al 2 de mayo aun no las han terminado. </t>
    </r>
    <r>
      <rPr>
        <b/>
        <sz val="8"/>
        <rFont val="Arial"/>
        <family val="2"/>
      </rPr>
      <t xml:space="preserve">
</t>
    </r>
    <r>
      <rPr>
        <sz val="8"/>
        <rFont val="Arial"/>
        <family val="2"/>
      </rPr>
      <t xml:space="preserve">
</t>
    </r>
    <r>
      <rPr>
        <b/>
        <sz val="8"/>
        <rFont val="Arial"/>
        <family val="2"/>
      </rPr>
      <t>El proyecto 5.9 se divide en los siguientes:</t>
    </r>
    <r>
      <rPr>
        <sz val="8"/>
        <rFont val="Arial"/>
        <family val="2"/>
      </rPr>
      <t xml:space="preserve">
</t>
    </r>
    <r>
      <rPr>
        <b/>
        <sz val="8"/>
        <rFont val="Arial"/>
        <family val="2"/>
      </rPr>
      <t xml:space="preserve">5.9.1: </t>
    </r>
    <r>
      <rPr>
        <sz val="8"/>
        <rFont val="Arial"/>
        <family val="2"/>
      </rPr>
      <t xml:space="preserve">Esta en trámite los estudios previos para insumos, contratos y servicios de analisis de laboratorios,  po rlo cual no ha permitido continuar con la fase de los contratos y terminación de la fase de planeación.
</t>
    </r>
    <r>
      <rPr>
        <b/>
        <sz val="8"/>
        <rFont val="Arial"/>
        <family val="2"/>
      </rPr>
      <t>5.9.2:</t>
    </r>
    <r>
      <rPr>
        <sz val="8"/>
        <rFont val="Arial"/>
        <family val="2"/>
      </rPr>
      <t xml:space="preserve">Esta en trámite los estudios previos para insumos, contratos y servicios de analisis de laboratorios,  po rlo cual no ha permitido continuar con la fase de los contratos y terminación de la fase de planeación.
</t>
    </r>
    <r>
      <rPr>
        <b/>
        <sz val="8"/>
        <rFont val="Arial"/>
        <family val="2"/>
      </rPr>
      <t>5.9.3:</t>
    </r>
    <r>
      <rPr>
        <sz val="8"/>
        <rFont val="Arial"/>
        <family val="2"/>
      </rPr>
      <t xml:space="preserve">El avance del Plan de Verificación microbiológica de acuerdo a la Resolución 2690 de 2015_2018 es de 4%. El 23 de marzo de 2018, se presentó al Dir, General se presentó modificación al proyecto Verificación  Microbiologica de acuerdo a resolución 2690, la cual se encuentra en tramite de definición, para saber si se autoriza el cambio al Ploan de monitoreo y vigilancia integral de la RAM (Resistencia a los Antimicrobianos) presente en los alimentos.  Presenta contratiempo debido a la necesidad de cambiar dicho Plan de Muestreo, de acuerdo con una solicitud planteada en la mesa de resistencia antemicrobiana liderada por Minsalud, la cual se encuentra en espera de respuesta por parte de la Direccion General, consignada en el Acta de Comite Tripartita Programas Especiales 20 de marzo de 2018.
</t>
    </r>
    <r>
      <rPr>
        <b/>
        <sz val="8"/>
        <rFont val="Arial"/>
        <family val="2"/>
      </rPr>
      <t>5.9.4:</t>
    </r>
    <r>
      <rPr>
        <sz val="8"/>
        <rFont val="Arial"/>
        <family val="2"/>
      </rPr>
      <t xml:space="preserve">Esta en trámite los estudios previos para insumos, contratos y servicios de analisis de laboratorios,  po rlo cual no ha permitido continuar con la fase de los contratos y terminación de la fase de planeación.
</t>
    </r>
    <r>
      <rPr>
        <b/>
        <sz val="8"/>
        <rFont val="Arial"/>
        <family val="2"/>
      </rPr>
      <t xml:space="preserve">5.9.5: </t>
    </r>
    <r>
      <rPr>
        <sz val="8"/>
        <rFont val="Arial"/>
        <family val="2"/>
      </rPr>
      <t xml:space="preserve">Esta en trámite los estudios previos para insumos, contratos y servicios de analisis de laboratorios,  po rlo cual no ha permitido continuar con la fase de los contratos y terminación de la fase de planeación.
</t>
    </r>
    <r>
      <rPr>
        <b/>
        <sz val="8"/>
        <rFont val="Arial"/>
        <family val="2"/>
      </rPr>
      <t xml:space="preserve">5.9.6: </t>
    </r>
    <r>
      <rPr>
        <sz val="8"/>
        <rFont val="Arial"/>
        <family val="2"/>
      </rPr>
      <t xml:space="preserve">Esta en trámite los estudios previos para insumos, contratos y servicios de analisis de laboratorios,  po rlo cual no ha permitido continuar con la fase de los contratos y terminación de la fase de planeación.
</t>
    </r>
    <r>
      <rPr>
        <b/>
        <sz val="8"/>
        <rFont val="Arial"/>
        <family val="2"/>
      </rPr>
      <t xml:space="preserve">
El proyecto 5,10  se divide en los siguientes:
5.10.</t>
    </r>
    <r>
      <rPr>
        <sz val="8"/>
        <rFont val="Arial"/>
        <family val="2"/>
      </rPr>
      <t>1</t>
    </r>
    <r>
      <rPr>
        <b/>
        <sz val="8"/>
        <rFont val="Arial"/>
        <family val="2"/>
      </rPr>
      <t xml:space="preserve">: </t>
    </r>
    <r>
      <rPr>
        <sz val="8"/>
        <rFont val="Arial"/>
        <family val="2"/>
      </rPr>
      <t xml:space="preserve">Se avanza en el desarrollo de la fase de planeación 2018 presentando una ejecución del 41%, excediendo el cronograma propuesto desde la activiad de la elaboración de documento  técnico en adelante. Las actividades de contrato de Insumo,  transporte y analisis de muestras se encuentran en proceso.
</t>
    </r>
    <r>
      <rPr>
        <b/>
        <sz val="8"/>
        <rFont val="Arial"/>
        <family val="2"/>
      </rPr>
      <t>5.10.2</t>
    </r>
    <r>
      <rPr>
        <sz val="8"/>
        <rFont val="Arial"/>
        <family val="2"/>
      </rPr>
      <t xml:space="preserve">:Se avanza en el desarrollo de la fase de planeación 2018 presentando una ejecución del 41%, excediendo el cronograma propuesto desde la activiad de la elaboración de documento  técnico en adelante.  Las actividades de contrato de Insumo,  transporte y analisis de muestras se encuentran en proceso.
</t>
    </r>
  </si>
  <si>
    <r>
      <t xml:space="preserve">6.4: </t>
    </r>
    <r>
      <rPr>
        <sz val="8"/>
        <rFont val="Arial"/>
        <family val="2"/>
      </rPr>
      <t>El proyecto avanza con retrasos en la entrega de análisis de resultados, en la revisión de los analisis y  por lo tanto en las actividades de la fase de cierre.Se evidencia un ajuste en el porcentaje de cumplimiento del proyecto dado a que se realiza la eliminación de la fase de planeación 2018 aprobada en comité tripartita, lo anterior dado a que esta fase esta incluida en el proyecto 2018 y es en este que se realizar su respectivo seguimiento.</t>
    </r>
    <r>
      <rPr>
        <b/>
        <sz val="8"/>
        <rFont val="Arial"/>
        <family val="2"/>
      </rPr>
      <t xml:space="preserve">
6.5: S</t>
    </r>
    <r>
      <rPr>
        <sz val="8"/>
        <rFont val="Arial"/>
        <family val="2"/>
      </rPr>
      <t>e identifican incumplimientos en la fase de planeación, los cuales inician principalmente con los procesos contractuales ya que si bien es cierto se cuentan con los estudios previos, para el caso de los de insumos y analisis estos no han sido radicados formalmente ante el grupo de gestión contractual, estos incumplimientos afectan e inciden en el desarrollo de las actividades siguientes y por ende en el cumplimiento del cronogram de actividades del proyecto, para lo cual se sugiere definir mecanismos que permitan establecer estrategias que logren la oportunidad de estos procesos contractuales, asi mismo la revisar la pértinencia de solicitar control de cambio para ajustar las fechas de las actividades que aun no se han podido iniciar por estos inconvenientes, esta solicitud deberá ser avalada por el comite tripartita y asu vez por la Dirección General de la entidad, lo anterior denota un exceso en el tiempo entre tres y cuatro meses, dejando asi el proyecto para esta revisión en un estado critico.
Nota: Actualmente la DAB se encuentra a espera de la aprobación de un control de cambio para ajustar los cronogramas. Los estudios se encuentran en trámite.</t>
    </r>
  </si>
  <si>
    <r>
      <rPr>
        <b/>
        <sz val="8"/>
        <rFont val="Arial"/>
        <family val="2"/>
      </rPr>
      <t xml:space="preserve">1.17: </t>
    </r>
    <r>
      <rPr>
        <sz val="8"/>
        <rFont val="Arial"/>
        <family val="2"/>
      </rPr>
      <t xml:space="preserve">Se ejecutó las fases de acuerdo al cronograma, realizando las actividades: Los resultados obtenido al cierre del 2017, se socializaron a los funcionarios de la Dirección de Responsabilidad Sanitaria, dejando registro en el acta No. 026 del 9 de octubre del 2017 de 14 visitas programadas, 14 visitas realizadas con un cumplimiento del 100%, Tipo de evento 7 registratones y 7 capacitaciones de 501 personas capacitadas aprox. y 11 Ciudades visitadas.
</t>
    </r>
    <r>
      <rPr>
        <b/>
        <sz val="8"/>
        <rFont val="Arial"/>
        <family val="2"/>
      </rPr>
      <t xml:space="preserve">1.20: </t>
    </r>
    <r>
      <rPr>
        <sz val="8"/>
        <rFont val="Arial"/>
        <family val="2"/>
      </rPr>
      <t xml:space="preserve">El contenido, diseño de la revista y sitio en el micro- sitio en la la pagina WEB estan claramente identificados , para su realización se plantea la necesidad  de fusionar los tres proyectos que estan a cargo del Grupo Unidad de Reacción Inmediata, replanteando las actividade, alcance y objetivos y  se contemple la revista del observatorio con sus correspondientes recursos. 
</t>
    </r>
    <r>
      <rPr>
        <b/>
        <sz val="8"/>
        <rFont val="Arial"/>
        <family val="2"/>
      </rPr>
      <t>1.21 :</t>
    </r>
    <r>
      <rPr>
        <sz val="8"/>
        <rFont val="Arial"/>
        <family val="2"/>
      </rPr>
      <t xml:space="preserve">Se realiza el proceso de contratación RTVC el cual esta en ejecución actualmente, de otra parte, el contrato de capacitación sanitaria cuenta con estudios previos.
Los mensajes que actualmente se estan trasmitiendo son. Campañas Milagrosas, Recomendaciones para el consumo de pescado que fue realizado para semana santa.
en relacion a comerciales que actualmente se pasan por TV estan: Comercial de Fortalecimiento Institucional,  Comercial de Medicamentos, Comercial de Alimentos; comercial de Compras por Internet
r1.22:La fase de planeación fue ejecuatada al 100% y para la fase de desarrollo se cncuentra en tramite el desarrollo de Realizar convocatoria para el desarrollo de los conversatorios y llevar a cabo los conversatorios en las ciudades definidas.
</t>
    </r>
    <r>
      <rPr>
        <b/>
        <sz val="8"/>
        <rFont val="Arial"/>
        <family val="2"/>
      </rPr>
      <t>1.23:</t>
    </r>
    <r>
      <rPr>
        <sz val="8"/>
        <rFont val="Arial"/>
        <family val="2"/>
      </rPr>
      <t>Se dio cumplimiento a la fase de planeación identificando los abogados con que cuenta el Instituto ( Abogados contratistas: 22 y Funcionarios 113), definiendo el material de de apoyo e instrumentos de trabajo y programando el primer encuentro del colectivo jurídico del Instituto para el  22  de junio de 2018, el objeto que se pretende con este encuentro es que los diferentes abogados participen en la revisión, actualización y mejora del normograma de la entidad, partiendo del conocimiento que ellos tienen de las normas que se aplican  a los productos objeto de inspección, vigilancia y control  del Instituto.</t>
    </r>
    <r>
      <rPr>
        <b/>
        <sz val="8"/>
        <rFont val="Arial"/>
        <family val="2"/>
      </rPr>
      <t xml:space="preserve">
1.24: </t>
    </r>
    <r>
      <rPr>
        <sz val="8"/>
        <rFont val="Arial"/>
        <family val="2"/>
      </rPr>
      <t xml:space="preserve">Se actualizaron las fechas del cronograma del proyecto el cual es aprobado mediante lista de asistencia, de otra parte, se aprueba la presentación de los foros para s que aplique el tema que se vaya tratar o socializar en cada trimestre.   
</t>
    </r>
    <r>
      <rPr>
        <b/>
        <sz val="8"/>
        <rFont val="Arial"/>
        <family val="2"/>
      </rPr>
      <t xml:space="preserve">
1.25: </t>
    </r>
    <r>
      <rPr>
        <sz val="8"/>
        <rFont val="Arial"/>
        <family val="2"/>
      </rPr>
      <t xml:space="preserve">La fase de diagnostico presentó un avance ejecutando las actividades de: Seleccionar el grupo objetivo ciclo 1 y Aplicar las encuestas al grupo objetivo ciclo 1, mediante la cual se busca caracterizar las necesidades y expectativas de los posibles participantes en el desarrollo del ciclo 1 del proyecto de  Educación Sanitaria virtual del Programa Nacional de Tecnovigilancia (Fase IV),  mediante lo cual se pretende ampliar la cobertura y minimizar los costos de ejecución de las actividades de educación sanitaria.
</t>
    </r>
    <r>
      <rPr>
        <b/>
        <sz val="8"/>
        <rFont val="Arial"/>
        <family val="2"/>
      </rPr>
      <t>1.26:</t>
    </r>
    <r>
      <rPr>
        <sz val="8"/>
        <rFont val="Arial"/>
        <family val="2"/>
      </rPr>
      <t>Se hizo necesario una revisión y  actualización del cronograma de ejecución del proyecto debido al proceso que se adelanta  por parte de los funcionarios de  todas las dependencias del INVIMA y por recomendación de los miembros de la Comisión de Personal del INVIMA, dado que no se tienen los resultados definitivos de los funcionarios en lista de elegibles.
Se ha venido realizando las actualizaciones tematicas de la malla curricular con las diferentes depencias misionales, sin embargo se considera que haya que realizarse algunos ajustes posteriores a la fecha establecida dependiendo de los mismos resultados de la Convocatoria 428.</t>
    </r>
    <r>
      <rPr>
        <b/>
        <sz val="8"/>
        <rFont val="Arial"/>
        <family val="2"/>
      </rPr>
      <t xml:space="preserve">
1.27: </t>
    </r>
    <r>
      <rPr>
        <sz val="8"/>
        <rFont val="Arial"/>
        <family val="2"/>
      </rPr>
      <t xml:space="preserve">Se estableció la necesidad de replantear el cronograma del proyecto,  porque no  estaba establecido el total de reuniones a realizar. En tal sentido se replantea el proyecto y su alcance teniendo en cuenta el proceso que se adelanta en la convocatoria 428
</t>
    </r>
  </si>
  <si>
    <r>
      <rPr>
        <b/>
        <sz val="8"/>
        <rFont val="Arial"/>
        <family val="2"/>
      </rPr>
      <t xml:space="preserve">2.1:  </t>
    </r>
    <r>
      <rPr>
        <sz val="8"/>
        <rFont val="Arial"/>
        <family val="2"/>
      </rPr>
      <t>En la Audiencia Pública de Rendición de Cuentas 2017 "Trabajamos y crecemos juntos" que se llevó a cabo el 21 de marzo de 2018 en el Auditorio del ICA, el Director General del INIVIMA, Dr. Javier Guzman, presenta experiencias de cooperación internacional y buenas prácticas regulatorias. En dicho espacio además de usuarios participan funcionarios de las diferentes dependencias del Instituto.</t>
    </r>
    <r>
      <rPr>
        <b/>
        <sz val="8"/>
        <rFont val="Arial"/>
        <family val="2"/>
      </rPr>
      <t xml:space="preserve">
2.6</t>
    </r>
    <r>
      <rPr>
        <sz val="8"/>
        <rFont val="Arial"/>
        <family val="2"/>
      </rPr>
      <t>: Se define la estructura de cada uno de los entregables así: Doc Parte 1: Logros de la gestión de Cooperación Internacional 2012 - 2018. Doc Parte 2: Testimonios de acciones Doc Parte 3: Recomendaciones.</t>
    </r>
  </si>
  <si>
    <t>2.1. Banco de experiencias de Cooperación y de Buenas Prácticas regulatorias del INVIMA.</t>
  </si>
  <si>
    <t>Establecer los parámetros de actuación bajo los cuales se actuará en materia de cooperación internacional en el INVIMA.</t>
  </si>
  <si>
    <t>1.27 Prevencion, Pedagogia  y Responsabilidad Sanitaria para todos</t>
  </si>
  <si>
    <t>Posicionar al Invima en materia de responsabilidad sanitaria como un organismo enfocado en la prevención y pedagogía,  educando al ciudadano que desempeña un rol en la cadena de fabricación y/o comercialización de productos compentencia del Instituto con enfasis para la presente vigencia en Alimentos, disminuyendo la  ocurrencia de conductas infractoras de la normatividad sanitaria vigente, logrando una salvaguarda mas efectiva de la salud pública.</t>
  </si>
  <si>
    <r>
      <rPr>
        <b/>
        <sz val="8"/>
        <rFont val="Arial"/>
        <family val="2"/>
      </rPr>
      <t>3.2:</t>
    </r>
    <r>
      <rPr>
        <sz val="8"/>
        <rFont val="Arial"/>
        <family val="2"/>
      </rPr>
      <t xml:space="preserve"> Este proyecto se ejecuta en un  100%,  de acuerdo al desarrollo de las actividades inicialmente definidas mediante las cuales  se logra  la integración de los Reportes Periódicos al Sistema de notificación ONLINE, para optimizar la gestión del Grupo de Tecnovigilancia y de las Secretarias de Salud,  la consulta ONLINE de las Alertas, Recall e Informes de seguridad por medio de la implementación de módulos informáticos de notificación ONLINE de eventos e incidentes adversos trimestrales, Recall, Informes de Seguridad, Alertas y Hurtos - RISARH y la trazabilidad de los dispositivos médicos. 
</t>
    </r>
  </si>
  <si>
    <r>
      <rPr>
        <b/>
        <sz val="8"/>
        <rFont val="Arial"/>
        <family val="2"/>
      </rPr>
      <t xml:space="preserve">4.1:  </t>
    </r>
    <r>
      <rPr>
        <sz val="8"/>
        <rFont val="Arial"/>
        <family val="2"/>
      </rPr>
      <t>En el avance del desarrollo del proyecto, se realizó el diseño web para el reporte sin evento e incorporacion de las apliaciones de FRIARH, inscritos a la Red y al Programa, con generación de reportes y Creación modulo de reportes en la web y construcción e implementación del portable de acuerdo al diccionario de datos entregado a la Oficina de Tecnologías de la Información (verificación de los campos y su funcionamiento, verificación de los mecanismo.</t>
    </r>
  </si>
  <si>
    <r>
      <rPr>
        <b/>
        <sz val="8"/>
        <rFont val="Arial"/>
        <family val="2"/>
      </rPr>
      <t>10:11</t>
    </r>
    <r>
      <rPr>
        <sz val="8"/>
        <rFont val="Arial"/>
        <family val="2"/>
      </rPr>
      <t xml:space="preserve">: Se implementa en la totalidad de los puertos apartir del 26 de marzo de 2018. * Cada uno de los puertos cuenta con la herramienta de escritorio que les indica el tipo de inspección a realizar, de igual manera cuentan con alertas según el producto, con la información de VUCE e información de registro sanitario. * Se han realizado visitas para el apoyo a la implementación a los puertos de Santa Marta, Cartagena, Barranquilla, Ipiales, Buenaventura, Bogotá. * El equipo de la unidad de riesgos realiza monitoreo permanente con cada uno de los puertos y atiende requerimientos. Se ha definido la lista de las partidas arancelarias que deben ser enviadas a la DIAN, quien por su parte indicará al Instituto la entrada de estas.
</t>
    </r>
    <r>
      <rPr>
        <b/>
        <sz val="8"/>
        <rFont val="Arial"/>
        <family val="2"/>
      </rPr>
      <t>10:14</t>
    </r>
    <r>
      <rPr>
        <sz val="8"/>
        <rFont val="Arial"/>
        <family val="2"/>
      </rPr>
      <t xml:space="preserve">: El estabecimiento vigilado recibe la guía y tiene la posibilidad de cargar archivos, pero al momento de validar los documentos cargados no esposible hacerlo.  El aplicativo presenta incidencia en cuanto a visualización de archivos cargados por los establecimientos. * Se ha dado prioridad a la implementación del modelo IVC puertos por lo que no se ha podido avanzar en SAS. * Se lleva a cabo prueba piloto de Investigación Clínica SAS.
</t>
    </r>
    <r>
      <rPr>
        <b/>
        <sz val="8"/>
        <rFont val="Arial"/>
        <family val="2"/>
      </rPr>
      <t>10:15</t>
    </r>
    <r>
      <rPr>
        <sz val="8"/>
        <rFont val="Arial"/>
        <family val="2"/>
      </rPr>
      <t xml:space="preserve">: Para la vigencia 2018 se han agregado $40.000.000 al proyecto, los cuales serán destinados para la ejecución de dos talleres nacionales. * Informe de resultados de las 42 auditorias a Entidades Territoriales de Salud Departamentales, Distritales y Municipales el cual fue presentado en el taller. * Primer encuentro nacional de autoridades sanitarias de alimentos y bebidas.
</t>
    </r>
    <r>
      <rPr>
        <b/>
        <sz val="8"/>
        <rFont val="Arial"/>
        <family val="2"/>
      </rPr>
      <t xml:space="preserve">
10:18:</t>
    </r>
    <r>
      <rPr>
        <sz val="8"/>
        <rFont val="Arial"/>
        <family val="2"/>
      </rPr>
      <t xml:space="preserve"> * Informe bimensual de resultados presentado al Director de la misional. * Se lleva a cabo "Taller de Sensibilización sobre el Marco Legal de la Publicidad de Alimentos y Bebidas, concepto de la SEABA relacionado con declaraciones, estadísticas obtenidas del monitoreo de medios, principales falencias encontradas, atención a trámites de autorizaciones de publicidad". * Informe final para Dirección General de la ejecución del proyecto monitoreo de publicidad de los productos competencia de la Dirección de Alimentos y Bebidas con Radicado N°20183002633.
</t>
    </r>
    <r>
      <rPr>
        <b/>
        <sz val="8"/>
        <rFont val="Arial"/>
        <family val="2"/>
      </rPr>
      <t>10:20</t>
    </r>
    <r>
      <rPr>
        <sz val="8"/>
        <rFont val="Arial"/>
        <family val="2"/>
      </rPr>
      <t xml:space="preserve">:  Se atienden observaciones de la DIAN sobre la propuesta de los requisitos sanitarios, el documento está en última revisión por parte de la Oficina Asesora Jurídica para posterior envío. * La fase N° 2 no presenta avances debido a la capacidad limitada de personal del grupo, lo que ha impedido la ejecución estimada. * El 22 de marzo de 2018 la Dirección actualiza procedimiento de inspección de código IVC-INS-PR004. * IVC - SOA puertos implementado en SIVICOS. Sugerencia... Teniendo en cuenta que no ha sido posible ejecutar oportunamente algunas de las actividades planteadas en el cronograma, se sugiere radicar control de cambios.
</t>
    </r>
    <r>
      <rPr>
        <b/>
        <sz val="8"/>
        <rFont val="Arial"/>
        <family val="2"/>
      </rPr>
      <t xml:space="preserve">
10:21: </t>
    </r>
    <r>
      <rPr>
        <sz val="8"/>
        <rFont val="Arial"/>
        <family val="2"/>
      </rPr>
      <t>Documento guía que se ha elaborado entre Invima y Propaís dirigida al ciudadano de requisitos sanitarios para la fabricación de alimentos y bebidas. * Reuniones con MinSalud, MinComercio y Ejercito Nacional de validación resultados 2017 y acciones a seguir 2018. * Cronograma de actividades con las ETS a ejecutar durante la vigencia. * Asistencia a reunión en Solita - Caqueta para definir necesidades sanitarias 28-02-2018. * Se realiza acompañamiento en Guaviare a la Secretaría de Salud Departamental para actividades del sector gastronómico</t>
    </r>
    <r>
      <rPr>
        <b/>
        <sz val="8"/>
        <rFont val="Arial"/>
        <family val="2"/>
      </rPr>
      <t xml:space="preserve">
10:22</t>
    </r>
    <r>
      <rPr>
        <sz val="8"/>
        <rFont val="Arial"/>
        <family val="2"/>
      </rPr>
      <t xml:space="preserve">: Dado que no ha sido posible la ejecución del proyecto bajo lo estimado inicialmente, se ha programado reunión para el martes 5 de junio de 2018 en donde se revisará y ajustará el cronograma entre los grupos que participan (Técnico de Carnes, Técnico de Alimentos y Bebidas, Técnico de Vigilancia Epidemiológica de Alimentos y Bebidas, Técnico de Articulación y Coordinación con las Entidades Territoriales de Salud.). El grupo técnico de carnes radicará control de cambios bajo los lineamientos que indica el "PROCEDIMIENTO FORMULACIÓN Y SEGUIMIENTO A LA PLATAFORMA ESTRATÉGICA DEL INVIMA / Código: GDI-DIE-PR006", una vez se concierten fechas y revisen actividades del proyecto al interior de los grupos de la misional.
</t>
    </r>
    <r>
      <rPr>
        <b/>
        <sz val="8"/>
        <rFont val="Arial"/>
        <family val="2"/>
      </rPr>
      <t xml:space="preserve">
10:23</t>
    </r>
    <r>
      <rPr>
        <sz val="8"/>
        <rFont val="Arial"/>
        <family val="2"/>
      </rPr>
      <t xml:space="preserve">:  La Dirección de Medicamentos y Productos Biológicos solicita a la Oficina de Tecnologías de la Información base de datos de las modificaciones desde abril de 2017, la cual arroja información unificada de biológicos y de síntesis química, por lo que se procede a clasificar manualmente mes a mes, validando información en aplicativos systemplus y de registros sanitarios de la entidad.  * En el mes de enero de 2018 se realiza contratación de profesionales Adiela Villegas y Gloria Junca, quienes dentro de sus funciones tienen a cargo las actividades a ejecutar del proyecto.
</t>
    </r>
    <r>
      <rPr>
        <b/>
        <sz val="8"/>
        <rFont val="Arial"/>
        <family val="2"/>
      </rPr>
      <t xml:space="preserve">
10:24</t>
    </r>
    <r>
      <rPr>
        <sz val="8"/>
        <rFont val="Arial"/>
        <family val="2"/>
      </rPr>
      <t xml:space="preserve">: Contrato número 077 de 2018, con termino de ejecución de 9 meses contados a partir de la fecha de inicio por un valor total de $152.000.000, con el (IETS) para desarrollar una metodología para estandarizar la evaluación técnica sanitaria en materia de expedición de registros sanitarios para la vigilancia sanitaria de los reactivos de diagnóstico In vitro para HIV.
</t>
    </r>
    <r>
      <rPr>
        <b/>
        <sz val="8"/>
        <rFont val="Arial"/>
        <family val="2"/>
      </rPr>
      <t xml:space="preserve">
10:25</t>
    </r>
    <r>
      <rPr>
        <sz val="8"/>
        <rFont val="Arial"/>
        <family val="2"/>
      </rPr>
      <t>: Se realiza contratación del personal requerido (4 contratistas). * El grupo  ha dado inicio al levantamiento de información, producto de éste proceso de verificación se generan visitas de registro sanitario de medicamentos a establecimientos fabricantes. * En lo corrido del año se han realizado 10 visitas. * Se clasifican 253 trámites por ingrediente farmacéutico activo y laboratorio fabricante.</t>
    </r>
  </si>
  <si>
    <r>
      <rPr>
        <b/>
        <sz val="8"/>
        <rFont val="Arial"/>
        <family val="2"/>
      </rPr>
      <t>11.4</t>
    </r>
    <r>
      <rPr>
        <sz val="8"/>
        <rFont val="Arial"/>
        <family val="2"/>
      </rPr>
      <t xml:space="preserve">:Durante el primer trimestre del año 2018 se continuo con el cumplimiento del cronograma de negociación del Anexo de dispositivos medicos ( mecanismo de simplificacion de emision de registros sanitarios o reconocimiento de registros emitidos por Invima ), en la sección de resultados se hace un resumen de las actividades adelantadas.
</t>
    </r>
    <r>
      <rPr>
        <b/>
        <sz val="8"/>
        <rFont val="Arial"/>
        <family val="2"/>
      </rPr>
      <t xml:space="preserve">
11.5</t>
    </r>
    <r>
      <rPr>
        <sz val="8"/>
        <rFont val="Arial"/>
        <family val="2"/>
      </rPr>
      <t xml:space="preserve">: Definición de alcance de documento en el que se incluirán antecedentes, análisis, logros, barreras, rol de la Oficina de Asuntos Internaciones, recomendaciones y conclusiones, entre otros, para las vigencias de 2014 - 2018, con base en las gestiones de admisibilidad y aprovechamiento de mercados.
</t>
    </r>
    <r>
      <rPr>
        <b/>
        <sz val="8"/>
        <rFont val="Arial"/>
        <family val="2"/>
      </rPr>
      <t xml:space="preserve">
11.6</t>
    </r>
    <r>
      <rPr>
        <sz val="8"/>
        <rFont val="Arial"/>
        <family val="2"/>
      </rPr>
      <t xml:space="preserve">:  Propuesta de estructura de documento "ESTRATEGIA PARA EL APOYO A LA INDUSTRIA COLOMBIANA EN LA FACILITACIÓN DEL COMERCIO Y APROVECHAMIENTO DE MERCADOS INTERNACIONALES DE INTERÉS PARA MEDICAMENTOS".. Se adelantan reuniones con las agremiaciones en las que se dá a conocer el proyecto, ademas de definir una hoja de ruta para identificar mercados de interes y  obstaculos que encuentran en terceros mercados para el aprovechamiento de los mecanismos implementados a la facilitacion de acceso internacional para el sector de medicamentos.* Se ha levantado información estadística de exportaciones Medicamentos DIAN - DANE de 2008 - 2018. Reuniones con Clara Sánchez, Directora de Asuntos Regulatorios - AFIDRO 26-01-2018; Cecilia Aycardi Subdirectora ASINFAR 01-02-2018; Ana Maria Vesga Directora Ejecutiva de la Cámara de la Industria Farmacéutica - ANDI 14-02-2018, en las que se realiza presentación general del proyecto y el plan de trabajo para el desarrollo del mismo.
</t>
    </r>
    <r>
      <rPr>
        <b/>
        <sz val="8"/>
        <rFont val="Arial"/>
        <family val="2"/>
      </rPr>
      <t>11.7</t>
    </r>
    <r>
      <rPr>
        <sz val="8"/>
        <rFont val="Arial"/>
        <family val="2"/>
      </rPr>
      <t xml:space="preserve">: Fase 1: Fortalecimiento del Sistema de Verificación e Inspección en plantas, Visitas a las plantas de beneficio en el mes de Febrero por parte del Director General y el Director de Alimentos en donde estuvo presente además personal de Fonade, Programa de Transformación productiva (PTP) y Ministerio de Comercio, Industria y Turismo. Fase 2: Inspección, Vigilancia y Control en Plantas de beneficio de Bovinos con clasificación (I) o de exportación, Elaboración del programa de entrenamiento para los profesionales y técnicos auxiliares, como evidencia se encuentran las memorias del evento y el informe remitido por Acovez y el PTP. Remisión de necesidades de desplazamientos y viáticos a Fonade de los profesionales y técnicos de los equipos de inspección, como evidencia esta el traslado de dicho personal a cada una de las plantas de beneficio. Se han realizado las actividades de seguimiento a la inspección las cuales estan soportadas en informes que especifica el desarrollo de las mismas.
En lo relacionado con la verificación de requisitos del país destino se ha realizado la revisión del código federal de Estados Unidos y la revisión de requisitos de otros países. Se realiza de manera constante y rutinaria en las plantas de beneficio  la verificación de los procedimientos operativos estandarizados,verificación de los puntos críticos establecidos en el plan HACCP así como el apoyo al médico veterinario, como soporte de estas actividades se encuentran los documentos con los registros en cada una de las plantas de beneficio. Fase 3: Desarrollar informes de evaluación de la implementación de las actividades de Inspeccion Vigilancia y Control, Formatos e informes diligenciados derivados de la inspección en plantas de beneficio y emisión de certificados con los requisitos del país destino los cuales se encuntran como evidencia en cada una de las plantasde beneficio. Informes parciales con el seguimiento al cronograma y desarrollo de las actividades técnicas y compromisos de los profesionales y técnicos de los equipos de inspección. La Oficina de asuntos internacionales hizo una revisión del cuestionario FSIS y determino los temas que requieren ser revisados por cada uno de los grupos de la Dirección de Alimentos remitiendo mediante correo electrónico las preguntas que deberan ser contestadas y sobre las cuales se haran los ajustes a que haya lugar. Fase 4: Caracterización de peligros Biológicos (formular el programa de vigilancia y control oficial de riesgos microbiologicos, Elaboración y remisión a Fonade de los estudios previos para la contratación de la consultoría. Elaboración de un documentos borrador con los lineamientos técnicos para la toma de muestras el cual incluye el manual de muestreo por microorganismos. Fase 4: Caracterización de peligros Químicos (Diseñar y formular el programa de vigilancia y control oficial de los riesgos Químicos),  Revisión de perfiles y elaboración de estudios previos para la contratación del profesional de mediciana veterinaria para el apoyo de las actividades del convenio. Documento borrador con los lineamientos técnicos </t>
    </r>
  </si>
  <si>
    <r>
      <rPr>
        <b/>
        <sz val="8"/>
        <rFont val="Arial"/>
        <family val="2"/>
      </rPr>
      <t xml:space="preserve">
12.6</t>
    </r>
    <r>
      <rPr>
        <sz val="8"/>
        <rFont val="Arial"/>
        <family val="2"/>
      </rPr>
      <t>: En la fase de planeación, se verificó que dentro del plan de trabajo elaborado por la Oficina Asesora Jurídica, revisó las fechas establecidas y realizo ajustes en las mismas , de otra parte se realizaron comunicaciones con los GTTS a fin de identificar los municipios mas cercanos  de los deudores que actualmente no tiene acuerdos de pagos, para actualizar y depurar la base de datos de un total de 4,000 procesos  en Bogotá, Medellín, Cali, Villavicencio, Monteria, Cartagena y Manizales.</t>
    </r>
    <r>
      <rPr>
        <b/>
        <sz val="8"/>
        <rFont val="Arial"/>
        <family val="2"/>
      </rPr>
      <t xml:space="preserve">
12.7</t>
    </r>
    <r>
      <rPr>
        <sz val="8"/>
        <rFont val="Arial"/>
        <family val="2"/>
      </rPr>
      <t>:En la primera fsae de conociendo la cultura ambiente del Invima, se elaboró encuesta ambiental sobre el Sistema de Gestión Ambiental del Invima a los servidores públicos, con el fin de conocer las expectativas y conocimiento del Tema: Generalidades e implementación del SGA. En la fase planeación  de Actividades para fortalecer la cultura ambiental del Invima , se desarrolla de acuerdo a los resultados de la encuesta inicial la tematica de los boletines ambientales con calidad para la vigencia: Establecer la temática de interés para las diferentes sedes del Invima ( Entrenamiento Ambiental), Gestionar  con las entidades externas el desarrollo de actividades ambientales y transporte cuando se requieran, Definir la metodología para realizar entrenamientos en la norma NTC ISO 14001:2015 (Control operacional): y Entrenamiento en la norma  NCT ISO 14001:2015.</t>
    </r>
    <r>
      <rPr>
        <b/>
        <sz val="8"/>
        <rFont val="Arial"/>
        <family val="2"/>
      </rPr>
      <t xml:space="preserve">
12.8</t>
    </r>
    <r>
      <rPr>
        <sz val="8"/>
        <rFont val="Arial"/>
        <family val="2"/>
      </rPr>
      <t xml:space="preserve">: Por parte de la Oficina de Atención al ciudadamno se realizó y socializó  el Plan de trabajo donde se define que se establece una encuesta a los GTTS. De otra parte la Dirección de operaciones sanitarias que participa en el proyecto elaboró la correspondiente  metodología para ralizar los tramites de vitales no disponibles, </t>
    </r>
  </si>
  <si>
    <r>
      <rPr>
        <b/>
        <sz val="8"/>
        <rFont val="Arial"/>
        <family val="2"/>
      </rPr>
      <t>15.5</t>
    </r>
    <r>
      <rPr>
        <sz val="8"/>
        <rFont val="Arial"/>
        <family val="2"/>
      </rPr>
      <t xml:space="preserve">: El proyecto está soportado en las buenas prácticas y el marco de referencia de arquitectura empresarial para aumentar la eficiencia operativa, gracias al mejoramiento de los servicios tecnologicos y el incremento del conocimiento de los funcionarios del Instituto, el cual esta en proceso de gestión de contratación.
</t>
    </r>
    <r>
      <rPr>
        <b/>
        <sz val="8"/>
        <rFont val="Arial"/>
        <family val="2"/>
      </rPr>
      <t xml:space="preserve">
15.6:</t>
    </r>
    <r>
      <rPr>
        <sz val="8"/>
        <rFont val="Arial"/>
        <family val="2"/>
      </rPr>
      <t xml:space="preserve"> Con este proyecto se implementaran buenas practicas para establecer el modelo integrado de gestión de la información que abarca el gobierno de datos, la seguridad de la información, continuidad de negocio y la administración documental del Instituto, el avance se ha dado en estudio de factibilidad y en proceso de estudio de mercado.
</t>
    </r>
    <r>
      <rPr>
        <b/>
        <sz val="8"/>
        <rFont val="Arial"/>
        <family val="2"/>
      </rPr>
      <t>15.7</t>
    </r>
    <r>
      <rPr>
        <sz val="8"/>
        <rFont val="Arial"/>
        <family val="2"/>
      </rPr>
      <t xml:space="preserve">: Para este proyecto de Diseño e implementación del modelo de Interoperabilidad (proyecto a nivel de la infraestructura tecnológica) el cual facilitará el intercambio de información con otras entidades (como el MSPS o la Unión Europea – Traces, por ejemplo). a la fecha se encuentra en proceso de definición, documentación e implementación del mismo. </t>
    </r>
  </si>
  <si>
    <r>
      <rPr>
        <b/>
        <sz val="8"/>
        <rFont val="Arial"/>
        <family val="2"/>
      </rPr>
      <t xml:space="preserve">16.7: </t>
    </r>
    <r>
      <rPr>
        <sz val="8"/>
        <rFont val="Arial"/>
        <family val="2"/>
      </rPr>
      <t xml:space="preserve"> En el desarrollo de la fase de planeación, se realizó la convocatoria para presentación de postulaciones para acceso a los programas de educación formal continua abierta, las últimas aprobaciones corresponden a Adriana Pérez Posada-Universidad de la Salle, Sulay Milena Leal Leal- Universidad Santo Tomás, Yonatan Rafael Pestaña Utria-Universidad Meteropolitana de Barranquilla.</t>
    </r>
  </si>
  <si>
    <r>
      <t xml:space="preserve">17.3: </t>
    </r>
    <r>
      <rPr>
        <sz val="8"/>
        <rFont val="Arial"/>
        <family val="2"/>
      </rPr>
      <t xml:space="preserve">Se cuenta con el contrato interadministrativo No. 249 de 2018 suscrito con la Universidad de Antioquia, donde la investigación abarca a los equipos de macrogoteo y sondas. Se tiene suscrita Acta No. 1 donde se elabora y aprueba cronograma de trabajo con la Universidad de Antioquia. De las etapas en el contrato se encuentra en el diagnóstico para lo cual se evidencian los siguientes informes correspondientes al análisis de información para contar con un estado del arte, así:
Informe No 1. Información general sobre dispositivos de macrogoteo:se consigna la información referencial sobre los dispositivos objeto de análisis, donde se realiza una recopilación de la investigación que tiene como fin definir los tipos de dispositivos de macrogoteo que existen, los materiales en los que están fabricados, las partes que lo conforman, además de los fabricantes y comercializadores en Colombia. Informe No 2. Incidentes y eventos adversos de dispositivos de macrogoteo reportados en la base de datos del INVIMA:en este informe se presentan los consolidados obtenidos después de la revisión y análisis de la base de datos (BD) del Grupo de Tecnovigilancia de la Dirección de Dispositivos y Otras Tecnologías, del INVIMA, sobre los eventos e incidentes adversos ocurridos con dispositivos de macrogoteo del 2012 al 2017, con el objetivo de determinar las causas de fallo más comunes.  Informe No 3. Incidentes y eventos adversos de dispositivos de macrogoteo reportados en la literatura:En este informe se realiza una consulta de eventos e incidentes adversos reportados en la literatura, con el fin de determinar las principales causas de mal funcionamiento de los dispositivos de macrogoteo en Colombia y contrastarlas con los reportes de fallo reportados en otros países. Informe No 4. Entes regulatorios y normas aplicables a los dispositivos de macrogoteo,  Informe No 5. Criterios y selección de ensayos para el control de calidad de los dispositivos de macrogoteo ,Informe No 6. Metodología de la búsqueda y análisis de la información para dispositivos de macrogoteo, Plan de implementación del ensayo de determinación de la tasa de flujo para dispositivos de macrogoteo según la norma ISO 8536-4 e Informe No 8. Plan de implementación de los ensayos aplicables a los dispositivos de sondas. </t>
    </r>
    <r>
      <rPr>
        <b/>
        <sz val="8"/>
        <rFont val="Arial"/>
        <family val="2"/>
      </rPr>
      <t xml:space="preserve">
</t>
    </r>
  </si>
  <si>
    <r>
      <rPr>
        <b/>
        <sz val="8"/>
        <rFont val="Arial"/>
        <family val="2"/>
      </rPr>
      <t>9,8:</t>
    </r>
    <r>
      <rPr>
        <sz val="8"/>
        <rFont val="Arial"/>
        <family val="2"/>
      </rPr>
      <t xml:space="preserve"> El proyecto presenta avance de ejecución en sus actividades de 97%. Se encuentra en trámite por parte de la Oficina de Laboratorios el análisis de las muestras de *1 shampo, * 2 labiales, * 5 detergentes. Total de muestras analizadas 69 de 76 muestras tomadas.
</t>
    </r>
    <r>
      <rPr>
        <b/>
        <sz val="8"/>
        <rFont val="Arial"/>
        <family val="2"/>
      </rPr>
      <t>9,9</t>
    </r>
    <r>
      <rPr>
        <sz val="8"/>
        <rFont val="Arial"/>
        <family val="2"/>
      </rPr>
      <t>:</t>
    </r>
    <r>
      <rPr>
        <b/>
        <sz val="8"/>
        <rFont val="Arial"/>
        <family val="2"/>
      </rPr>
      <t xml:space="preserve"> </t>
    </r>
    <r>
      <rPr>
        <sz val="8"/>
        <rFont val="Arial"/>
        <family val="2"/>
      </rPr>
      <t xml:space="preserve">Se tomaron 395 muestras de Medicamentos por parte de las Entidades Territoriales de Salud con apoyo de los Grupos de Trabajo Territoriales, y de  igual forma se hizo la recepción de muestras en la Oficina de Laboratorios y Control de Calidad.
 De las 395 muestras tomadas se ha hecho análisis de control de calidad a cuarenta y un (41) muestras y se ha programado la toma de diez y seis (16) muestras que se reportaron con resultado NO CONFORME de las cuarenta y un (41) muestras analizadas.
</t>
    </r>
    <r>
      <rPr>
        <b/>
        <sz val="8"/>
        <rFont val="Arial"/>
        <family val="2"/>
      </rPr>
      <t>9,10:</t>
    </r>
    <r>
      <rPr>
        <sz val="8"/>
        <rFont val="Arial"/>
        <family val="2"/>
      </rPr>
      <t xml:space="preserve"> En la fase de planeación, se  realizó reunión con la Oficina de Laboratorios, Dirección de Operacionaes Sanitarias y Dirección de Dispositivos Médicos el día 11 de Enero de 2018 para acordar la planeación de actividades y se trataron los siguientes temas: * Resultados 2017, * Programación 2018, * Lineas de trabajo. Teniendo como base resultados de vigencias anteriores y dependiendo de la capacidad que tiene el  Laboratorios para el año 2018, debido a su traslado de sede, se  dió lineamientos por parte de la  Dirección General en cuanto a aumentar la cobertura de análisis de muestras (100 muestras) esto quiere decir que se pasa de 7.7 % en el año 2017 de cobertura de la totalidad de los Registros Sanitarios a 15% para la vigencia 2018.  Los Dispositivos y muestras proyectados para la vigencia 2018: son:  Cateteres intraven. periféricos 10 muestras,  Suturas 20 muestras,  Guantes 16 muestras, Jeringas 17 muestras, Sondas 8 muestras, Eq. Macrogoteo 10 muestras y Preservativos 13 muestras
</t>
    </r>
    <r>
      <rPr>
        <b/>
        <sz val="8"/>
        <rFont val="Arial"/>
        <family val="2"/>
      </rPr>
      <t>9,11:</t>
    </r>
    <r>
      <rPr>
        <sz val="8"/>
        <rFont val="Arial"/>
        <family val="2"/>
      </rPr>
      <t xml:space="preserve">  Para la fase de planeación, se definieron 47 principios activos para Medicamentos de los cuales 39 serán analizados por el Laboratorio de Invima y 8 por un Laboratorio tercerizado. Se proyectó tomar 510 muestras para Medicamentos de las cuales 430 serán analizadas por el Laboratorio de Invima y 80 por el Laboratorio tercerizado y  125 muestras para suplementos dietarios que serán analizadas por el Laboratorio de Invima. El proyecto presenta avance de ejecución en sus actividades de 10%. para la fase de desarrollo se enviaron oficios a las Secretarias de Salud para la designación de funcionarios para la  toma de muestras (28 oficios) y trece (13) visitas a las Secretarias de Salud impartiendo directrices a  los funcionarios para la toma de muestras.
</t>
    </r>
    <r>
      <rPr>
        <b/>
        <sz val="8"/>
        <rFont val="Arial"/>
        <family val="2"/>
      </rPr>
      <t>9,12</t>
    </r>
    <r>
      <rPr>
        <sz val="8"/>
        <rFont val="Arial"/>
        <family val="2"/>
      </rPr>
      <t>: La fase de diagmostico y planificaicón se ejecutó al 100%, para el desarrollo se definió los siguientes productos a muestrear en 2018: *Cosméticos Capilares: 20 muestras, *Cosméticos para la piel, polvos sueltos y compactos: 5 muestras, *Jabones detergentes líquidos: 20 muestras, *Cosméticos para el aseo e higiene corporal, jabones líquidos: 25 muestras. Para un total de 70 muestras. Se evidencia acta de febrero 23 de 2018 en reunión sostrenida con la Oficina de Laboratorios donde se hizo la revisión de los productos objeto del muestreo 2018.</t>
    </r>
  </si>
  <si>
    <r>
      <t xml:space="preserve">8.1 </t>
    </r>
    <r>
      <rPr>
        <sz val="8"/>
        <rFont val="Arial"/>
        <family val="2"/>
      </rPr>
      <t xml:space="preserve"> se ha hecho el análisis de lo sresultados correspondientes a visitas, capacitaciones, videoconferencias y asistencias técnicas, se evidencia la elaboración y remisión delinforme vigencia 2017 con concluisones y planes de acción a  implementar. 
En la ejecución del plan de trabajo asistencias técnicas 2018 con la regiones se realizaron cinco asistencias técnicas en Bogotá, Villavicencio, Pereira, Cali, Barranquilla.
Se han realizado 71 visitas de evaluación y de seguimiento a IPS en 14 Secretarias de Salud</t>
    </r>
    <r>
      <rPr>
        <b/>
        <sz val="8"/>
        <rFont val="Arial"/>
        <family val="2"/>
      </rPr>
      <t xml:space="preserve">.
8.2 </t>
    </r>
    <r>
      <rPr>
        <sz val="8"/>
        <rFont val="Arial"/>
        <family val="2"/>
      </rPr>
      <t>Se realiza seguimiento a la ejecución de las  actividades del proyecto las cuales se desarrollan dentrio de los tiempos establecidos en el cronograma inicial.</t>
    </r>
  </si>
  <si>
    <r>
      <t xml:space="preserve">
</t>
    </r>
    <r>
      <rPr>
        <b/>
        <sz val="8"/>
        <rFont val="Arial"/>
        <family val="2"/>
      </rPr>
      <t>18.2</t>
    </r>
    <r>
      <rPr>
        <sz val="8"/>
        <rFont val="Arial"/>
        <family val="2"/>
      </rPr>
      <t xml:space="preserve"> Se publicó en la página web del Invima el Micosito que define como queda el Observatorio, el cual se encuantra en desarrollo y contiene de manera general:  *Indicadores de productos fraudulentos
*Educación Ciudadana,  *Casos de éxito (3),  *Boletines.
El carge de información de las bases de datos se está desarrollando de acuerdo a los informes recolectados de las Misionales y Guri.
Se llevó a cabo la socialización del formato de captura de información en paises como España, Méxio, Chile y El Salvador.
Se presenta retrasos en la ejecución de las actividades de las diferentes fases del proyecto, de acuerdo a lo anterior el proyecto queda en estado critico  se sugiere realizar una revisión de los inconvenientes que se presentaron para el desarrollo de estas actividades y  asi definir un plan de acción.
</t>
    </r>
    <r>
      <rPr>
        <b/>
        <sz val="8"/>
        <rFont val="Arial"/>
        <family val="2"/>
      </rPr>
      <t xml:space="preserve">18.3 </t>
    </r>
    <r>
      <rPr>
        <sz val="8"/>
        <rFont val="Arial"/>
        <family val="2"/>
      </rPr>
      <t xml:space="preserve">Debido a cambios administrativos, este proyecto no presenta avance de ejecución en sus actividadees, se unificara una vez  se tenga una  propuesta del Grupo Unidad de Reacción Inmediata y Lineamientos de Dirección General </t>
    </r>
  </si>
  <si>
    <r>
      <t xml:space="preserve">
</t>
    </r>
    <r>
      <rPr>
        <b/>
        <sz val="8"/>
        <rFont val="Arial"/>
        <family val="2"/>
      </rPr>
      <t xml:space="preserve">14.9: </t>
    </r>
    <r>
      <rPr>
        <sz val="8"/>
        <rFont val="Arial"/>
        <family val="2"/>
      </rPr>
      <t xml:space="preserve">En ejecución convenio suscrito con Innpulsa, mediante el cual el solucionador Heinsohn Bussiness Technology S.A. está trabajando en un software que permitirá a la industria ingresar solicitudes de trámites y soportes respectivos, así como realizar seguimiento del estado del trámite vía web. Se ha avanzado con el proceso de atención al ciudadano en la creación de los servicios como registro de empresas y usuarios, gestión de los datos y la modelación en BPMn, y el trámite de evaluación farmacológica en todas la modalidades. Se anexa como evidencia video interno https://youtu.be/GoOopySstzo. Se desarrollo en la web los trámites, se encuentra en fase de pruebas (cosmeticos, alimentos, dispositivos, medicamnetos y comisión revisora), se encuentra en pruebas el proceso de atención al ciudadano y registros sanitarios para todos los productos. En la página web se encuentra disponible el registro de empresas, el trámite de evaluación farmacologica y trámite de registros sanitarios, se encuentran en proceso de despliegue y pruebas para cosméticos, alimentos y dispositivos médicos. 
Nota: El proyecto continúa hasta el mes de junio de 2018, por amplición de la fecha del contrato, por inclusión de nueva fase y por alcance del poryecto.
</t>
    </r>
    <r>
      <rPr>
        <b/>
        <sz val="8"/>
        <rFont val="Arial"/>
        <family val="2"/>
      </rPr>
      <t>14.11:</t>
    </r>
    <r>
      <rPr>
        <sz val="8"/>
        <rFont val="Arial"/>
        <family val="2"/>
      </rPr>
      <t xml:space="preserve"> Se realizó el estudio de factibilidad del proyecto, se documentaron los estudios previos y se encuentran en proceso de revisión del Grupo de adquisiciones para la contratación del proveedor, el cual mejorara el portal web, la experiencia de usuario en accesibilidad y usabilidad,  con un buscador robusto para consulta de información, con autenticación única del usuario externo e interno para acceder a la información acorde a la necesidad y con un gestor de contenido de fácil administración para crear y publicar contenido institucional, acorde a lineamientos de Gobierno digital, Ley de  Transparencia Ley 1712 de 2014 y necesidades de la entidad.
</t>
    </r>
    <r>
      <rPr>
        <b/>
        <sz val="8"/>
        <rFont val="Arial"/>
        <family val="2"/>
      </rPr>
      <t>14.12</t>
    </r>
    <r>
      <rPr>
        <sz val="8"/>
        <rFont val="Arial"/>
        <family val="2"/>
      </rPr>
      <t xml:space="preserve">: El proyecto inicia a partir del 19 de abril de 2018.
</t>
    </r>
    <r>
      <rPr>
        <b/>
        <sz val="8"/>
        <rFont val="Arial"/>
        <family val="2"/>
      </rPr>
      <t>14.13</t>
    </r>
    <r>
      <rPr>
        <sz val="8"/>
        <rFont val="Arial"/>
        <family val="2"/>
      </rPr>
      <t xml:space="preserve">: La Se ha llevado la gestión de la asignación de presupuesto para fortalecer la insfrestructura tecnologica del Instituto, a la fecha se ha adquirido el licenciamiento y renovación así como la adquisición de tecnologías necesarias para la operación del Invima.
</t>
    </r>
    <r>
      <rPr>
        <b/>
        <sz val="8"/>
        <rFont val="Arial"/>
        <family val="2"/>
      </rPr>
      <t>1415</t>
    </r>
    <r>
      <rPr>
        <sz val="8"/>
        <rFont val="Arial"/>
        <family val="2"/>
      </rPr>
      <t xml:space="preserve">: En la fase de planeación se contrato la prestación de servicios profesionales para apoyar a la oficina de tecnologías de la información del Invima en la implementación de funcionalidades requeidas para adaptar los sistemas web orientadas a microservicios y portlets por valor de $67.800.000, a partir del 17 de Enero.  En la fase de ejecución se realizó Inventario de Sistemas a Integrar y Detalle de Servicios para el bus de servicios Se realizó el levantamiento de información de acuerdo a los sistemas de información a migrar a la nueva arquitectura orientada a microservicios. Definición, implementación y configuración de la plataforma como servicio con arquitectura de contenedores y servidor de aplicaciones Jboss EAP. Se realizó contratación (294 - 2018-ccvs 294 - 2018) para la suscripción para el licenciamiento del sistema de computación en la nube, bus de servicios y servidor de aplicaciones de REDHAT para la implementación de la plataforma de interoperabilidad del INVIMA-ENTELGY COLOMBIA S.A.S, se encuentra en proceso de implantación de la plataforma en los servidores del instituto. 
Mediante este proyecto se busca mejorar la calidad de los servicios y plataforma tecnológica para asegurar la disponibilidad de los datos informáticos del Instituto bajo el lineamiento de arquitectura de software de última tecnología, el avance es del 22% en la contratación directa de profesional para la implementación de los microservicios y levantamiento de la información de los sistemas de información a migrar. 
</t>
    </r>
    <r>
      <rPr>
        <b/>
        <sz val="8"/>
        <rFont val="Arial"/>
        <family val="2"/>
      </rPr>
      <t>1416:</t>
    </r>
    <r>
      <rPr>
        <sz val="8"/>
        <rFont val="Arial"/>
        <family val="2"/>
      </rPr>
      <t xml:space="preserve"> Este proyecto pretende optimizar la consulta de la información de las actas a partir del año 1996 a 2017, el cual permitirá una mejor toma de decisiones de los comisionados de la SEDMPB, a la fecha se encuentra en proceso de revisión de los estudios previos por parte del Grupo de Adquisiciones. 
</t>
    </r>
    <r>
      <rPr>
        <b/>
        <sz val="8"/>
        <rFont val="Arial"/>
        <family val="2"/>
      </rPr>
      <t>14.17:</t>
    </r>
    <r>
      <rPr>
        <sz val="8"/>
        <rFont val="Arial"/>
        <family val="2"/>
      </rPr>
      <t xml:space="preserve">  Se ha realizado el levantamiento de información y se ha iniciado la implementación de dos módulos administrativos y recursos., para la Implementación de la solución de Laboratorios integrado con los Sistemas de información de la entidad.
</t>
    </r>
    <r>
      <rPr>
        <b/>
        <sz val="8"/>
        <rFont val="Arial"/>
        <family val="2"/>
      </rPr>
      <t>14.18:</t>
    </r>
    <r>
      <rPr>
        <sz val="8"/>
        <rFont val="Arial"/>
        <family val="2"/>
      </rPr>
      <t xml:space="preserve"> El proyecto tiene como objeto de implementar solución tecnológica que permita diseñar, gestionar, documentar, medir, realizar seguimiento y establecer el mejoramiento, articulando la información referente sistema de gestión integrado del Invima, por lo que se ha llevado a cabo el proceso de planeación en un 47% como la elaboración del plan de trabajo, las necesidades y los estudios de mercado. 
</t>
    </r>
    <r>
      <rPr>
        <b/>
        <sz val="8"/>
        <rFont val="Arial"/>
        <family val="2"/>
      </rPr>
      <t>14.19</t>
    </r>
    <r>
      <rPr>
        <sz val="8"/>
        <rFont val="Arial"/>
        <family val="2"/>
      </rPr>
      <t xml:space="preserve">: Este proyecto tiene como objetivo implementar un sistema integrado de  Corrrespondencia y PQRDS para el Instituto Nacional de Vigilancia de Medicamentos y Alimentos- Invima, que permita optimizar, racionalizar, simplificar, automatizar la radicación y gestionar las comunicaciones oficiales y peticiones, denuncias, quejas y reclamos, que cumpla con la normatividad vigente y de respuesta a las necesidades de la entidad, el cual ala fecha s eencuentra en proceso de elaboración de estudios  previos. 
</t>
    </r>
    <r>
      <rPr>
        <b/>
        <sz val="8"/>
        <rFont val="Arial"/>
        <family val="2"/>
      </rPr>
      <t>14.20:</t>
    </r>
    <r>
      <rPr>
        <sz val="8"/>
        <rFont val="Arial"/>
        <family val="2"/>
      </rPr>
      <t xml:space="preserve"> Este proyecto tiene como objetivo: Hacer eficiente el proceso de gestión de riesgos sanitario de toda la entidad, mediante la sistematización de las fuentes de información (módulos e interfaces) del modelo de Inspección, Vigilancia y Control basado en riesgos IVC SOA para los establecimientos objeto de vigilancia del Instituto, para el cual se encuentra contratado el recurso y se ha avanzado en un 100% al alistamiento y lineamientos para generar los tipos de preguntas y la creación de componentes a los diferentes modelos de la tableta Delphi. 
</t>
    </r>
    <r>
      <rPr>
        <b/>
        <sz val="8"/>
        <rFont val="Arial"/>
        <family val="2"/>
      </rPr>
      <t>14.21:</t>
    </r>
    <r>
      <rPr>
        <sz val="8"/>
        <rFont val="Arial"/>
        <family val="2"/>
      </rPr>
      <t xml:space="preserve"> Este proyecto será una solución informática Implementada segura, flexible, alineada al negocio, manejando datos en tiempo real, compuesta por una parte web y otra parte móvil permitiendo tener la trazabilidad completa del trámite en cualquier momento y tomar evidencias de las inspecciones que se realicen en los PAPF, el cual a la fecha se han relizado actividades de levantamiento de información, modelamiento de procesos y arquitectura de información. 
</t>
    </r>
    <r>
      <rPr>
        <b/>
        <sz val="8"/>
        <rFont val="Arial"/>
        <family val="2"/>
      </rPr>
      <t>14.22:</t>
    </r>
    <r>
      <rPr>
        <sz val="8"/>
        <rFont val="Arial"/>
        <family val="2"/>
      </rPr>
      <t xml:space="preserve"> Para el proyecto se busca una solución informática de registro sanitario actualizada que permita realizar la trazabilidad y seguimiento de os procesos en las dependencias que se encuentre, a la fecha se encuentra en proceso de levantamiento de información e historias de usuarios de igual forma se están realizando ajustes a la primera fase del proyecto vigencia 2017. 
</t>
    </r>
    <r>
      <rPr>
        <b/>
        <sz val="8"/>
        <rFont val="Arial"/>
        <family val="2"/>
      </rPr>
      <t>14.23:</t>
    </r>
    <r>
      <rPr>
        <sz val="8"/>
        <rFont val="Arial"/>
        <family val="2"/>
      </rPr>
      <t xml:space="preserve"> Para este proyecto es necesario contratar los servicios para el desarrollo e implementación de una solución informática que permita el reporte periódico de información de los establecimientos vigilados; para ejercer una vigilancia sanitaria preventiva y eficaz, contando con información relevante de los establecimientos. A la fecha se encuentra en construcción las historias de usuario para productos, establecimientos y alertas y recall. 
</t>
    </r>
  </si>
  <si>
    <r>
      <t xml:space="preserve">5.7.1: </t>
    </r>
    <r>
      <rPr>
        <sz val="8"/>
        <rFont val="Arial"/>
        <family val="2"/>
      </rPr>
      <t xml:space="preserve"> Esta ejecución se soporta con el desarrollo de la fase de ejeucción y analisis en su totalidad, mediante la cual se elabora el informe que consolida los siguientes resultados obtenidos 11 resultados rechazados, para lo cual el Invima realizó las acciones de intervencion correspondientes entre vistas de IVC y medidas sanitarias de seguridad.
</t>
    </r>
    <r>
      <rPr>
        <b/>
        <sz val="8"/>
        <rFont val="Arial"/>
        <family val="2"/>
      </rPr>
      <t>5.7.2:</t>
    </r>
    <r>
      <rPr>
        <sz val="8"/>
        <rFont val="Arial"/>
        <family val="2"/>
      </rPr>
      <t xml:space="preserve"> Se soporta con el desarrollo de la fase de ejeucción y analisis en su totalidad, mediante la cual se elabora el informe que consolida los siguientes resultados obtenidos cero  resultados rechazados, ya que se evidencia  el control de la cadena de frío, incluyendo el monitoreo de temperaturas que se realiza desde la captura en alta mar hasta el procesamiento que se lleva a cabo en el establecimiento, igualmente es importante el plan de muestreo que ha implementado cada establecimiento,  en el cual se incluye el control de  formación de Histamina.
</t>
    </r>
    <r>
      <rPr>
        <b/>
        <sz val="8"/>
        <rFont val="Arial"/>
        <family val="2"/>
      </rPr>
      <t>5.7.3:</t>
    </r>
    <r>
      <rPr>
        <sz val="8"/>
        <rFont val="Arial"/>
        <family val="2"/>
      </rPr>
      <t xml:space="preserve">Soportado con el desarrollo de la fase de ejeucción y analisis en su totalidad, mediante la cual se elabora el informe que consolida los siguientes resultados obtenidos cero  resultados rechazados, ya que Las condiciones sanitarias con las que se procesaron, capturaron y comercializaron los lotes analizados de productos de pescado, moluscos y crustáceos crudos y precocidos importados a Colombia durante el año 2017, cumplierón con las indicaciones del Plan de Contingencia del Sector Salud para la Prevención y Control de Cólera y los requisitos microbiológicos (negativo para Vibrio cholerae O1) establecidos en la Resolución 122 de 2012, por lo que no representan ningún peligro para consumo humano.  
</t>
    </r>
    <r>
      <rPr>
        <b/>
        <sz val="8"/>
        <rFont val="Arial"/>
        <family val="2"/>
      </rPr>
      <t>5.7.4:</t>
    </r>
    <r>
      <rPr>
        <sz val="8"/>
        <rFont val="Arial"/>
        <family val="2"/>
      </rPr>
      <t xml:space="preserve">Se elabora el informe que consolida los siguientes resultados obtenidos 19 resultados rechazados, para lo cual el Invima realizó las acciones de internevcion correspondientes entre vistas de IVC y medidas sanitarias de seguridad.
</t>
    </r>
    <r>
      <rPr>
        <b/>
        <sz val="8"/>
        <rFont val="Arial"/>
        <family val="2"/>
      </rPr>
      <t xml:space="preserve">5.7.5: </t>
    </r>
    <r>
      <rPr>
        <sz val="8"/>
        <rFont val="Arial"/>
        <family val="2"/>
      </rPr>
      <t xml:space="preserve">Esta ejecución se soporta con el desarrollo de la fase de ejeucción y analisis en su totalidad, mediante la cual se elabora el informe que consolida los siguientes resultados obtenidos cero  resultados rechazados, ya que se evidencia la implementación adecuada del sistema de aseguramiento  HACCP, mediante la cual se promueve  la protección de la inocuidad de la carne y productos cárnicos procesados en las plantas de beneficio animal, de esta manera se protege la salud de los consumidores nacionales o internacionales, por tal razón se debe continuar realizando el debido seguimiento a los puntos de control crítico durante la inspección permanente.
</t>
    </r>
    <r>
      <rPr>
        <b/>
        <sz val="8"/>
        <rFont val="Arial"/>
        <family val="2"/>
      </rPr>
      <t>5.8.1:</t>
    </r>
    <r>
      <rPr>
        <sz val="8"/>
        <rFont val="Arial"/>
        <family val="2"/>
      </rPr>
      <t xml:space="preserve"> Se soporta con el desarrollo de la fase de ejecución y analisis en su totalidad, mediante la cual se elabora el informe que consolida los siguientes resultados obtenidos 11 resultados rechazados, para lo cual el Invima realizó las acciones de internevcion correspondientes entre vistas de IVC y medidas sanitarias de seguridad.
</t>
    </r>
    <r>
      <rPr>
        <b/>
        <sz val="8"/>
        <rFont val="Arial"/>
        <family val="2"/>
      </rPr>
      <t xml:space="preserve">
5.8.2: </t>
    </r>
    <r>
      <rPr>
        <sz val="8"/>
        <rFont val="Arial"/>
        <family val="2"/>
      </rPr>
      <t xml:space="preserve"> Los resultados se reflejarán una vez se concluya el informe final del plan en el terecer trimestre de la presente vigencia. De acuerdo a lo establecido en reunión Tripartita acerca de los Planes de Monitoero 2017 que requieren el total del muestreo para su analisis, se evidencia que de las 180 muestras programadas por la DAB del Plan de Muetsreo de Salmonella spp en piezas de pollo (muestreo de enjuague de piezas de pollo) , seanalizó159 de los  resultados recividos por parte del Laboratorio, 20 de estos rechazados por exceder el tiempo y la temperatura,  para lo cual se ha enviado unas directricez para hacer acciones de IVC de manera inmediata . Es de resaltar que las etapas de Planeación 2017 y ejecución y análisis 2017 se desarrollaron posterior a las fechas propuestas en el cronograma. 
</t>
    </r>
    <r>
      <rPr>
        <b/>
        <sz val="8"/>
        <rFont val="Arial"/>
        <family val="2"/>
      </rPr>
      <t xml:space="preserve">
5.8.3</t>
    </r>
    <r>
      <rPr>
        <sz val="8"/>
        <rFont val="Arial"/>
        <family val="2"/>
      </rPr>
      <t xml:space="preserve">:lnforme que consolida los siguientes resultados obtenidos 3 resultados rechazados, para lo cual el Invima realizó las acciones de internevcion correspondientes entre vistas de IVC y medidas sanitarias de seguridad.
</t>
    </r>
    <r>
      <rPr>
        <b/>
        <sz val="8"/>
        <rFont val="Arial"/>
        <family val="2"/>
      </rPr>
      <t xml:space="preserve">5.8.4: </t>
    </r>
    <r>
      <rPr>
        <sz val="8"/>
        <rFont val="Arial"/>
        <family val="2"/>
      </rPr>
      <t xml:space="preserve">Los resultados se reflejaran una vez se concluya el informe final del plan en el tercer trimestre de la presente vigencia. De acuerdo a lo establecido en reunión Tripartita acerca de los Planes de Monitoero 2017 que requieren el total del muestreo para su analisis, se evidencia que de las 373 muestras programadas de Monitoreo de Campylobacter por la DAB, se recibio del Laboratorio 346 resultados de los resultados recividos del laboratorio, 3 de estos rechazados por exceder el tiempo y la temperatura,  para lo cual se ha enviado unas directricez para hacer acciones de IVC de manera inmediata . Es de resaltar que las etapas de Planeación 2017 y ejecución y análisis 2017 se desarrollaron posterior a las fechas propuestas en el cronograma. 
</t>
    </r>
    <r>
      <rPr>
        <b/>
        <sz val="8"/>
        <rFont val="Arial"/>
        <family val="2"/>
      </rPr>
      <t>5.8.5</t>
    </r>
    <r>
      <rPr>
        <sz val="8"/>
        <rFont val="Arial"/>
        <family val="2"/>
      </rPr>
      <t xml:space="preserve">: Los resultaos se reflejaran una vez se concluya el informe final del plan que concluira en el tercer trimestre de la presente vigencia. Analizados los resultados recibidos del Laboratorio con corte a abril, se identifican cuatro resultados rechazados,  lo cual generó el envío de directricez para hacer acciones de IVC de manera inmediata.  Es de resaltar que las etapas de ejecución y análisis y cirre 2017 se desarrollaron posterior a las fechas propuestas en el cronograma .
</t>
    </r>
    <r>
      <rPr>
        <b/>
        <sz val="8"/>
        <rFont val="Arial"/>
        <family val="2"/>
      </rPr>
      <t>5.9.1:</t>
    </r>
    <r>
      <rPr>
        <sz val="8"/>
        <rFont val="Arial"/>
        <family val="2"/>
      </rPr>
      <t xml:space="preserve"> Se avanza en el desarrollo de la fase de planeación 2018, se espera iniciar el dearrollo de las actividades tecnicas en el tercer trimestre.
5.9.2: Se avanza en el desarrollo de la fase de planeación 2018 , se espera iniciar el dearrollo de las actividades tecnicas en el tercer trimestre.
</t>
    </r>
    <r>
      <rPr>
        <b/>
        <sz val="8"/>
        <rFont val="Arial"/>
        <family val="2"/>
      </rPr>
      <t>5.9.3:</t>
    </r>
    <r>
      <rPr>
        <sz val="8"/>
        <rFont val="Arial"/>
        <family val="2"/>
      </rPr>
      <t xml:space="preserve"> El 23 de marzo de 2018, se presentó al Director General modificación al proyecto Verificación  Microbiologica de acuerdo a resolución 2690, la cual se encuentra en tramite de ajustes del plan para envío al aunidad de riesgo.
</t>
    </r>
    <r>
      <rPr>
        <b/>
        <sz val="8"/>
        <rFont val="Arial"/>
        <family val="2"/>
      </rPr>
      <t>5.9.4</t>
    </r>
    <r>
      <rPr>
        <sz val="8"/>
        <rFont val="Arial"/>
        <family val="2"/>
      </rPr>
      <t xml:space="preserve">: El proyecto ya se encuentra en la fase de ejecución y analisis, con el lineamiento para la toma de muestras remitido a las Entidades Territoriales de salud, quienes realizaran el muestreo. Es de resaltar que no fue necesario realizar ni estudios previos ni contratacion para el analisis de las muestras, en razón a que estos los realizará el laboratorio del Invima y laboratoriod e saludpública de la red. 
</t>
    </r>
    <r>
      <rPr>
        <b/>
        <sz val="8"/>
        <rFont val="Arial"/>
        <family val="2"/>
      </rPr>
      <t>5.9.5</t>
    </r>
    <r>
      <rPr>
        <sz val="8"/>
        <rFont val="Arial"/>
        <family val="2"/>
      </rPr>
      <t xml:space="preserve">: El proyecto ya se encuentra en la fase de ejecución y analisis, con el lineamiento para la toma de muestras remitido a las Entidades Territoriales de salud, quienes realizaran el muestreo. Es de resaltar que no fue necesario realizar ni estudios previos ni contratacion para el analisis de las muestras, en razón a que estos los realizará el laboratorio del Invima y laboratorio de salud pública de la red. 
</t>
    </r>
    <r>
      <rPr>
        <b/>
        <sz val="8"/>
        <rFont val="Arial"/>
        <family val="2"/>
      </rPr>
      <t>5.9.6:</t>
    </r>
    <r>
      <rPr>
        <sz val="8"/>
        <rFont val="Arial"/>
        <family val="2"/>
      </rPr>
      <t xml:space="preserve"> El proyecto  ya se encuentra en la fase de ejecución y analisis, con el lineamiento para la toma de muestras remitido a las Entidades Territoriales de salud, quienes realizaran el muestreo.  Es de resaltar que no fue necesario realizar ni estudios previos ni contratacion para el analisis de las muestras, en razón a que estos los realizará el laboratorio del Invima y laboratorio de salud pública de la red.
</t>
    </r>
    <r>
      <rPr>
        <b/>
        <sz val="8"/>
        <rFont val="Arial"/>
        <family val="2"/>
      </rPr>
      <t xml:space="preserve">5.10.1: </t>
    </r>
    <r>
      <rPr>
        <sz val="8"/>
        <rFont val="Arial"/>
        <family val="2"/>
      </rPr>
      <t xml:space="preserve">Se avanza en el desarrollo de la fase de planeación 2018, se espera iniciar el dearrollo de las actividades tecnicas en el tercer trimestre.
</t>
    </r>
    <r>
      <rPr>
        <b/>
        <sz val="8"/>
        <rFont val="Arial"/>
        <family val="2"/>
      </rPr>
      <t>5.10.2:</t>
    </r>
    <r>
      <rPr>
        <sz val="8"/>
        <rFont val="Arial"/>
        <family val="2"/>
      </rPr>
      <t xml:space="preserve"> Se avanza en el desarrollo de la fase de planeación 2018 , se espera iniciar el dearrollo de las actividades tecnicas en el tercer trimestre.
</t>
    </r>
  </si>
  <si>
    <r>
      <t>6.4: S</t>
    </r>
    <r>
      <rPr>
        <sz val="8"/>
        <rFont val="Arial"/>
        <family val="2"/>
      </rPr>
      <t xml:space="preserve">e esta pendiente de ajustes al informe final y su socializaciíon y publicación, es importante mencionar que en el analisis de los resultados se obtienen que solo el 2% de los productos analizados que no cumplen con lo declarado en sodio y lo mismo ocurre para hierro, de acuerdo a lo anterior a lo poco representativo los resultados no optimos se tomará esta información para ser incluida en bases de datos de vigilancia de la Dirección de Alimentos.
</t>
    </r>
    <r>
      <rPr>
        <b/>
        <sz val="8"/>
        <rFont val="Arial"/>
        <family val="2"/>
      </rPr>
      <t xml:space="preserve">6,5: </t>
    </r>
    <r>
      <rPr>
        <sz val="8"/>
        <rFont val="Arial"/>
        <family val="2"/>
      </rPr>
      <t>Se identifica incumplimientos en la fase de planeación, los cuales inician principalmente con los procesos contractuales ya que si bien es cierto se cuentan con los estudios previos, para el caso del analisis de terceros estos no han sido radicados formalmente ante el grupo de gestión contractual, estos incumplimientos afectan e inciden en el desarrollo de las actividades siguientes y por ende en el cumplimiento del cronograma de actividades del proyecto, para lo cual se sugiere definir mecanismos que permitan establecer estrategias que logren la oportunidad de estos procesos contractuales, asi mismo  revisar la pértinencia de solicitar control de cambio para ajustar las fechas de las actividades que aun no se han podido iniciar por estos inconvenientes.</t>
    </r>
  </si>
  <si>
    <r>
      <t xml:space="preserve">7.4: </t>
    </r>
    <r>
      <rPr>
        <sz val="8"/>
        <rFont val="Arial"/>
        <family val="2"/>
      </rPr>
      <t xml:space="preserve">Para el caso de arroz nacional e importado se estan haciendo los ajustes al documento final de acuerdo a las observaciones hechas por la Unidad de Riesgos .Para el caso de productos hortofruticolas el informe de resultados ha sido revisado por la Unidad de Riesgos, ajustado por la Dirección de Alimentos y remitido nuevamente con los ajustes se esta a la espera de la publicación u observaciones adicionales.
</t>
    </r>
    <r>
      <rPr>
        <b/>
        <sz val="8"/>
        <rFont val="Arial"/>
        <family val="2"/>
      </rPr>
      <t>7.5: Leche Cruda:</t>
    </r>
    <r>
      <rPr>
        <sz val="8"/>
        <rFont val="Arial"/>
        <family val="2"/>
      </rPr>
      <t xml:space="preserve"> El proyecto se encuentra en la fase final y se esta a la espera de la divulgación de resultados.
</t>
    </r>
    <r>
      <rPr>
        <b/>
        <sz val="8"/>
        <rFont val="Arial"/>
        <family val="2"/>
      </rPr>
      <t>Bovinos</t>
    </r>
    <r>
      <rPr>
        <sz val="8"/>
        <rFont val="Arial"/>
        <family val="2"/>
      </rPr>
      <t xml:space="preserve">: El informe final esta siendo revisado por el profesional estadístico de la Dirección de Alimentos y Bebidas para ser remitido a la Unidad de Riesgos para revisión y observaciones.
</t>
    </r>
    <r>
      <rPr>
        <b/>
        <sz val="8"/>
        <rFont val="Arial"/>
        <family val="2"/>
      </rPr>
      <t>Porcinos</t>
    </r>
    <r>
      <rPr>
        <sz val="8"/>
        <rFont val="Arial"/>
        <family val="2"/>
      </rPr>
      <t xml:space="preserve">: El informe final esta siendo revisado por el profesional estadístico de la Dirección de Alimentos y Bebidas para ser remitido a la Unidad de Riesgos para revisión y observaciones.
</t>
    </r>
    <r>
      <rPr>
        <b/>
        <sz val="8"/>
        <rFont val="Arial"/>
        <family val="2"/>
      </rPr>
      <t xml:space="preserve">Aves: </t>
    </r>
    <r>
      <rPr>
        <sz val="8"/>
        <rFont val="Arial"/>
        <family val="2"/>
      </rPr>
      <t xml:space="preserve"> El informe final esta siendo revisado por el profesional estadístico de la Dirección de Alimentos y Bebidas para ser remitido a la Unidad de Riesgos para revisión y observaciones.
</t>
    </r>
    <r>
      <rPr>
        <b/>
        <sz val="8"/>
        <rFont val="Arial"/>
        <family val="2"/>
      </rPr>
      <t>7.9:</t>
    </r>
    <r>
      <rPr>
        <sz val="8"/>
        <rFont val="Arial"/>
        <family val="2"/>
      </rPr>
      <t xml:space="preserve"> El informe final del proyecto fue revisado por la Unidad de Riesgos y se esta en proceso de ajuste a las observaciones recibidas .
La actividad de divulgación de resultados fue modificada mediante un control de cambios.
El proyecto fue ajustado y se esta a la espera de su finalización de acuerdo a las nuevas fechas establecidas.
</t>
    </r>
    <r>
      <rPr>
        <b/>
        <sz val="8"/>
        <rFont val="Arial"/>
        <family val="2"/>
      </rPr>
      <t xml:space="preserve">
7.14.2: S</t>
    </r>
    <r>
      <rPr>
        <sz val="8"/>
        <rFont val="Arial"/>
        <family val="2"/>
      </rPr>
      <t xml:space="preserve">e ha tomado el 100% de las muestras programadas (226 muestras) , se han recibido 176 análisis de laboratorio y se espera recibir los restantes en lo que queda el mes de Julio.
No se han presentado resultados rechazados una vez hecha la revisión de acuerdo a la normatividad vigente.
</t>
    </r>
    <r>
      <rPr>
        <b/>
        <sz val="8"/>
        <rFont val="Arial"/>
        <family val="2"/>
      </rPr>
      <t>7.15.1:</t>
    </r>
    <r>
      <rPr>
        <sz val="8"/>
        <rFont val="Arial"/>
        <family val="2"/>
      </rPr>
      <t xml:space="preserve">Como resultado del proyecto se han identificado presencia de metales pesados por lo que se ha remitido la información al ICA entidad encargada de tomar las medidas de intervención.
</t>
    </r>
    <r>
      <rPr>
        <b/>
        <sz val="8"/>
        <rFont val="Arial"/>
        <family val="2"/>
      </rPr>
      <t>7.15.2:</t>
    </r>
    <r>
      <rPr>
        <sz val="8"/>
        <rFont val="Arial"/>
        <family val="2"/>
      </rPr>
      <t xml:space="preserve"> Como resultado del proyecto se ha identificado 1 resultado rechazado sobre el cual se presentó la propuesta de directriz con las acciones de intervención al grupo de vigilancia epidemiológico y al grupo técnico de alimentos.
</t>
    </r>
    <r>
      <rPr>
        <b/>
        <sz val="8"/>
        <rFont val="Arial"/>
        <family val="2"/>
      </rPr>
      <t xml:space="preserve">7.15.3: </t>
    </r>
    <r>
      <rPr>
        <sz val="8"/>
        <rFont val="Arial"/>
        <family val="2"/>
      </rPr>
      <t xml:space="preserve">Se ha tomado el 100% de las muestras programadas (200 muestras tomadas) y se han recibido 152 análisis de laboratorio que corresponden al 76% del total de los análisis programados.
No se han podido obtener todos los resultados de laboratorio debido al atraso en la contratación del servicio de transporte de muestras secas por lo que las muestras no han llegado al laboratorio para su respectivo análisis.
</t>
    </r>
    <r>
      <rPr>
        <b/>
        <sz val="8"/>
        <rFont val="Arial"/>
        <family val="2"/>
      </rPr>
      <t>7.15.4:</t>
    </r>
    <r>
      <rPr>
        <sz val="8"/>
        <rFont val="Arial"/>
        <family val="2"/>
      </rPr>
      <t xml:space="preserve"> Se tomaron el 100% de las muestras que para este caso quedarón en 89 lo cual fue aprobado de manera conjunta por los asistentes a la reuniones tripartita del día 14 de Junio de 2018 y se han recibido el 100% de los análisis de laboratorio.
</t>
    </r>
    <r>
      <rPr>
        <b/>
        <sz val="8"/>
        <rFont val="Arial"/>
        <family val="2"/>
      </rPr>
      <t>7.15.5:</t>
    </r>
    <r>
      <rPr>
        <sz val="8"/>
        <rFont val="Arial"/>
        <family val="2"/>
      </rPr>
      <t xml:space="preserve"> Se han tomado 100 muestras que corresponden al 100% del total programado en el proyecto y se ha recibido el 100% de los análisis de laboratorio.
Durante la revisión de resultados de acuerdo a la normatividad vigente se han identificado 14 resultados no conformes.
El documento con el informe final del proyecto fue remitido a la Unidad de Riesgos el 30 de Abril y fue ajustado con las observaciones recibidas el 26 de Junio. Se esta a la espera de que la Unidad de Riesgos remita el documento al Grupo de Comunicaciones.
</t>
    </r>
    <r>
      <rPr>
        <b/>
        <sz val="8"/>
        <rFont val="Arial"/>
        <family val="2"/>
      </rPr>
      <t>7.15.6:</t>
    </r>
    <r>
      <rPr>
        <sz val="8"/>
        <rFont val="Arial"/>
        <family val="2"/>
      </rPr>
      <t xml:space="preserve"> e han tomado 100 muestras que corresponden al 100% del total programado en el proyecto y se ha recibido el 100% de los análisis de laboratorio.
Durante la revisión de resultados de acuerdo a la normatividad vigente se han identificado 14 resultados no conformes.
El documento con el informe final del proyecto fue remitido a la Unidad de Riesgos el 30 de Abril y fue ajustado con las observaciones recibidas el 26 de Junio. Se esta a la espera de que la Unidad de Riesgos remita el documento al Grupo de Comunicaciones.
</t>
    </r>
    <r>
      <rPr>
        <b/>
        <sz val="8"/>
        <rFont val="Arial"/>
        <family val="2"/>
      </rPr>
      <t>7.16.1:</t>
    </r>
    <r>
      <rPr>
        <sz val="8"/>
        <rFont val="Arial"/>
        <family val="2"/>
      </rPr>
      <t xml:space="preserve"> Como resultado del proyecto se han identificado 9 resultados rechazados por presencia de tiroestáticos (promotores de crecimiento) para lo cual el Invima ha informado al ICA para la aplicación de medidas de intervención así como al inspector en la planta de beneficio para nueva toma de muestras y seguimiento a los animales provenientes de las fincas afectadas con esta presencia de sustancias y las plantas de beneficio para revisión y selección de proveedores.
</t>
    </r>
    <r>
      <rPr>
        <b/>
        <sz val="8"/>
        <rFont val="Arial"/>
        <family val="2"/>
      </rPr>
      <t>7.16.2:</t>
    </r>
    <r>
      <rPr>
        <sz val="8"/>
        <rFont val="Arial"/>
        <family val="2"/>
      </rPr>
      <t xml:space="preserve"> Se han tomado 1554 muestras de un total programado de 1613 para un avance total del 96%. Para análisis de laboratorio se han recibido 1249 resultados discriminados de la siguiente manera: Laboratorio Invima: 138 análisis de 215 análisis totales programados para un cumplimiento del 64% Laboratorio tercerizados: 1111 resultados de 1398  análisis totales programados para un cumplimiento del 79%
Una vez realizada la revisión de los resultados de acuerdo a la normatividad vigente no se encontraron resultados rechazados.
</t>
    </r>
    <r>
      <rPr>
        <b/>
        <sz val="8"/>
        <rFont val="Arial"/>
        <family val="2"/>
      </rPr>
      <t>7.16.3:</t>
    </r>
    <r>
      <rPr>
        <sz val="8"/>
        <rFont val="Arial"/>
        <family val="2"/>
      </rPr>
      <t xml:space="preserve"> A la fecha se han tomado 562 muestras de un total de 565 programadas para un avance del 99% Respecto a los resultados de laboratorio se han recibido 470 resultados distribuidos de la siguiente manera: Laboratorio Invima 50 resultados de 89 programados para un avance del 56% Laboratorios tercerizados 420 resultados de 476 para un avance del 88%. En la revisión de acuerdo a la normatividad vigente no se han identificado resultados rechazados.
</t>
    </r>
    <r>
      <rPr>
        <b/>
        <sz val="8"/>
        <rFont val="Arial"/>
        <family val="2"/>
      </rPr>
      <t>7.16.4</t>
    </r>
    <r>
      <rPr>
        <sz val="8"/>
        <rFont val="Arial"/>
        <family val="2"/>
      </rPr>
      <t xml:space="preserve">: Se han identificado 3 resultados rechazados: 2 por presencia de antibiotícos y 1 por presencia de nitrofurano considerado como una sustancia prohibida para animales de producción. Esta información fue remitida al ICA entidad que se encargará de la aplicación de medidas de intervención. Adcionalmente con los resultados obtenidos en el plan se estan realizando capacitaciones por parte de Invima, ICA y Fenavi a los acuicultores en los departamentos donde se han presentado estos resultados no conformes.
</t>
    </r>
    <r>
      <rPr>
        <b/>
        <sz val="8"/>
        <rFont val="Arial"/>
        <family val="2"/>
      </rPr>
      <t>7.16.5:</t>
    </r>
    <r>
      <rPr>
        <sz val="8"/>
        <rFont val="Arial"/>
        <family val="2"/>
      </rPr>
      <t xml:space="preserve"> se han tomado 290 muestras de un total de 350 programadas. El restante de las muestras serán tomadas en lo que resta el mes de Julio por parte del ICA .
</t>
    </r>
    <r>
      <rPr>
        <b/>
        <sz val="8"/>
        <rFont val="Arial"/>
        <family val="2"/>
      </rPr>
      <t>7.16.6:</t>
    </r>
    <r>
      <rPr>
        <sz val="8"/>
        <rFont val="Arial"/>
        <family val="2"/>
      </rPr>
      <t xml:space="preserve"> El documento con el informe final fue remitido a la Unidad de Riesgos en el mes de Junio. La fase de cierre continua con un atraso ya que la presentación de resultados debió finalzar en el mes de Junio.
</t>
    </r>
    <r>
      <rPr>
        <b/>
        <sz val="8"/>
        <rFont val="Arial"/>
        <family val="2"/>
      </rPr>
      <t>7.17.1:</t>
    </r>
    <r>
      <rPr>
        <sz val="8"/>
        <rFont val="Arial"/>
        <family val="2"/>
      </rPr>
      <t xml:space="preserve"> Se llevó a cabo la entrega de lineamientos a la Dirección de Operaciones Sanitarias y se realizó la publicación del lineamiento # 13 en el mapa de procesos de la entidad.
</t>
    </r>
    <r>
      <rPr>
        <b/>
        <sz val="8"/>
        <rFont val="Arial"/>
        <family val="2"/>
      </rPr>
      <t xml:space="preserve">7.17.2:  </t>
    </r>
    <r>
      <rPr>
        <sz val="8"/>
        <rFont val="Arial"/>
        <family val="2"/>
      </rPr>
      <t xml:space="preserve">Documento técnico del plan revisado por la Unidad de Riesgos y ajustado de acuerdo a las observaciones y publicación de lineamiento técnico # 4 en el mapa de procesos de la entidad. Se dio inicio a la toma de muestras, a la fecha se han tomado 10 muestras de las 97 totales programadas.
</t>
    </r>
    <r>
      <rPr>
        <b/>
        <sz val="8"/>
        <rFont val="Arial"/>
        <family val="2"/>
      </rPr>
      <t>7.18.1:</t>
    </r>
    <r>
      <rPr>
        <sz val="8"/>
        <rFont val="Arial"/>
        <family val="2"/>
      </rPr>
      <t xml:space="preserve"> Se realizó la entrega de lineamientos a la Dirección de Operaciones Sanitarias y pulblicación del lineamiento #14 en el mapa de procesos de la entidad.
La toma de muestras dio inicio en el mes de Julio y se espera tener el primer reporte los primeros días de Agosto.
</t>
    </r>
    <r>
      <rPr>
        <b/>
        <sz val="8"/>
        <rFont val="Arial"/>
        <family val="2"/>
      </rPr>
      <t>7.18.2:</t>
    </r>
    <r>
      <rPr>
        <sz val="8"/>
        <rFont val="Arial"/>
        <family val="2"/>
      </rPr>
      <t xml:space="preserve"> El proyecto avanza con atrasos en la fase de planeación debido a la demora en la suscricpión del contrato de transporte de muestras secas.
</t>
    </r>
    <r>
      <rPr>
        <b/>
        <sz val="8"/>
        <rFont val="Arial"/>
        <family val="2"/>
      </rPr>
      <t xml:space="preserve">7.18.3: </t>
    </r>
    <r>
      <rPr>
        <sz val="8"/>
        <rFont val="Arial"/>
        <family val="2"/>
      </rPr>
      <t xml:space="preserve">Durante la ejecución del proyecto se han identificado 2 resultados rechazados para lo cual se ha enviado la información al Grupo de vigilancia epidemiológica, Grupo técnico de alimentos. Grupo circular 046 y Grupo de registros para la respectiva aplicación de acciones de intervención.
La Dirección de Alimentos esta apoyando técnicamente a los Grupos de Trabajo Territorial en la explicación de las medidas tomadas debido a la especificidad técnica que tiene este tema y de esta manera fortalecer los conocimientos de los funcionarios de la entidad.
</t>
    </r>
    <r>
      <rPr>
        <b/>
        <sz val="8"/>
        <rFont val="Arial"/>
        <family val="2"/>
      </rPr>
      <t xml:space="preserve">7.18.4: </t>
    </r>
    <r>
      <rPr>
        <sz val="8"/>
        <rFont val="Arial"/>
        <family val="2"/>
      </rPr>
      <t xml:space="preserve">Se han tomado 22 muestras de 111 programadas, se han implementado estrategias como realizar el muestreo inicialmente en Bogotá de manera que no se requiera hacer uso del contrato de transporte, se esta a la espera de los análisis de laboratorio.
</t>
    </r>
    <r>
      <rPr>
        <b/>
        <sz val="8"/>
        <rFont val="Arial"/>
        <family val="2"/>
      </rPr>
      <t>7.18.5</t>
    </r>
    <r>
      <rPr>
        <sz val="8"/>
        <rFont val="Arial"/>
        <family val="2"/>
      </rPr>
      <t xml:space="preserve">: Durante la ejecución del proyecto se han identificado 2 resultados rechazados para lo cual se ha enviado la información al Grupo de vigilancia epidemiológica, Grupo técnico de alimentos. Grupo circular 046 y Grupo de registros para la respectiva aplicación de acciones de intervención.
La Dirección de Alimentos esta apoyando técnicamente a los Grupos de Trabajo Territorial en la explicación de las medidas tomadas debido a la especificidad técnica que tiene este tema y de esta manera fortalecer los conocimientos de los funcionarios de la entidad.
</t>
    </r>
    <r>
      <rPr>
        <b/>
        <sz val="8"/>
        <rFont val="Arial"/>
        <family val="2"/>
      </rPr>
      <t>7.19.1:</t>
    </r>
    <r>
      <rPr>
        <sz val="8"/>
        <rFont val="Arial"/>
        <family val="2"/>
      </rPr>
      <t xml:space="preserve"> Suscripción de los contratos de adquisición de insumos y transporte de muestras (húmedas).
Entrega del lineamiento a la Dirección de Operaciones Sanitarias y publicación del mismo en el mapa de procesos de la entidad como lineamiento # 10. La toma de muestras iniciará la última semana del mes de Julio
</t>
    </r>
    <r>
      <rPr>
        <b/>
        <sz val="8"/>
        <rFont val="Arial"/>
        <family val="2"/>
      </rPr>
      <t>7.19.2</t>
    </r>
    <r>
      <rPr>
        <sz val="8"/>
        <rFont val="Arial"/>
        <family val="2"/>
      </rPr>
      <t xml:space="preserve">:  Suscripción de los contratos de adquisición de insumos y transporte de muestras (húmedas).
Entrega del lineamiento a la Dirección de Operaciones Sanitarias y publicación del mismo en el mapa de procesos de la entidad como lineamiento # 10. La toma de muestras iniciará la última semana del mes de Julio.
</t>
    </r>
    <r>
      <rPr>
        <b/>
        <sz val="8"/>
        <rFont val="Arial"/>
        <family val="2"/>
      </rPr>
      <t>7.19.3:</t>
    </r>
    <r>
      <rPr>
        <sz val="8"/>
        <rFont val="Arial"/>
        <family val="2"/>
      </rPr>
      <t xml:space="preserve"> Contratación de los servicios de insumos y transporte de muestras (humedas). Lineamiento técnico definido y aprobado por la Dirección de Alimentos y remitido a la Dirección de Operaciones Sanitarias. Inicio de la toma de muestras a remitir inicialmente al laboratorio Invima mientras se finaliza el proceso de contratación con laboratorios tercerizados como estrategia para mitigar los posibles atrasos.
</t>
    </r>
    <r>
      <rPr>
        <b/>
        <sz val="8"/>
        <rFont val="Arial"/>
        <family val="2"/>
      </rPr>
      <t>7.19.4:</t>
    </r>
    <r>
      <rPr>
        <sz val="8"/>
        <rFont val="Arial"/>
        <family val="2"/>
      </rPr>
      <t xml:space="preserve"> Contratación de los servicios de insumos y transporte de muestras (humedas). Para este proyecto el ICA es la entidad encargada de la toma de muestras, sin embargo se remitirá documento informativo al GTT para el procedimiento de revisión de muestras.
</t>
    </r>
  </si>
  <si>
    <r>
      <t xml:space="preserve">8.1:   </t>
    </r>
    <r>
      <rPr>
        <sz val="8"/>
        <rFont val="Arial"/>
        <family val="2"/>
      </rPr>
      <t xml:space="preserve">A la fecha se ha publicado tres (3) artículos con información de avances del proyecto en farmaseguridad.
En cuanto a la ejecución del plan de trabajo asistencias técnicas, se hicieron 6 reuniones presenciales y 8 videoconferencias.
Se realizaron veintidos (22) visitas de evaluación y seguimiento  a Secretarias de Salud y ciento cinco (105) IPS.
</t>
    </r>
    <r>
      <rPr>
        <b/>
        <sz val="8"/>
        <rFont val="Arial"/>
        <family val="2"/>
      </rPr>
      <t xml:space="preserve">
8.2: </t>
    </r>
    <r>
      <rPr>
        <sz val="8"/>
        <rFont val="Arial"/>
        <family val="2"/>
      </rPr>
      <t xml:space="preserve">En cuanto a la caracterización de la información se hace  presentación Actualización reporte en linea 2018, presentaciones en Secretaria de Salud. Análisis de resultados: Archivo SIG, presentación Actualizaciónde reporte en línea 2018. Informe final a junio de 2018 de Resultados del ciclo de conferencias, I sesión y II sesión. Remisión y socialización del informe final con conclusiones y planes de acción a implementar, soporte de sesión I y sesión II del segundo ciclo de conferencias en Farmacovigilancia a la Industria Farmacéutica. Ejecución 100%
</t>
    </r>
  </si>
  <si>
    <r>
      <rPr>
        <b/>
        <sz val="8"/>
        <rFont val="Arial"/>
        <family val="2"/>
      </rPr>
      <t xml:space="preserve">11.4: </t>
    </r>
    <r>
      <rPr>
        <sz val="8"/>
        <rFont val="Arial"/>
        <family val="2"/>
      </rPr>
      <t xml:space="preserve">Se adelanta ronda presencial en Mexico.
Se realizan dos rondas intersectoriales de forma virutal, como producto se formaliza el anexo de Dispositivos Médicos, que corresponde al mecanismo que simplifica la emision y reconocimiento de registros sanitarios emitidos por Invima por parte de las agencias sanitarias de Perú, Mexico y Chile.Se evidencia declaración de presidentes que evidencia el cierre del acuerdo y la generación de un mecanismo que simplifica la emisión de registros sanitarios o el reconocimiento de los registros sanitarios emitidos por Invima en terceros países.
</t>
    </r>
    <r>
      <rPr>
        <b/>
        <sz val="8"/>
        <rFont val="Arial"/>
        <family val="2"/>
      </rPr>
      <t>11.5:</t>
    </r>
    <r>
      <rPr>
        <sz val="8"/>
        <rFont val="Arial"/>
        <family val="2"/>
      </rPr>
      <t xml:space="preserve">  El documento "INVIMA PROMOVIENDO EL ACCESO A MERCADOS INTERNACIONALES PARA LOS EXPORTADORES COLOMBIANOS" está en proceso de desarrollo y presenta en su estructura "la gestión de apertura de mercados, en qué consiste?", "Priorización de mercados, ¿Cómo? ¿Quien? ¿Que? ¿Por qué? ¿Para qué? ", "Rol de la OAI en la apertura de mercados.", "Actores involucrados en la apertura de mercados.", "2014-2018 que ha pasado?", "Casos de éxito" ,"Aprovechamiento de mercados", "Fortalezas", "Oportunidades", "Necesidades", " Conclusiones".
</t>
    </r>
    <r>
      <rPr>
        <b/>
        <sz val="8"/>
        <rFont val="Arial"/>
        <family val="2"/>
      </rPr>
      <t>11.6:</t>
    </r>
    <r>
      <rPr>
        <sz val="8"/>
        <rFont val="Arial"/>
        <family val="2"/>
      </rPr>
      <t xml:space="preserve">  En cuanto a la consolidación de mecanismos para la autorización y reconocimiento de registros y certificaciones el 29-06-2018 en la ciudad de Lisboa, Portugal,  se firma Acuerdo Interinstitucional para facilitación del intercambio de actas de inspección entre el Invima y ANMAT.
 Con el fin de operativizar el intercambio objeto del acuerdo, se designa a las áreas de asuntos/relaciones Internacionales de cada organismo, como canal de comunicación entre las partes.
</t>
    </r>
    <r>
      <rPr>
        <b/>
        <sz val="8"/>
        <rFont val="Arial"/>
        <family val="2"/>
      </rPr>
      <t xml:space="preserve">11.7: </t>
    </r>
    <r>
      <rPr>
        <sz val="8"/>
        <rFont val="Arial"/>
        <family val="2"/>
      </rPr>
      <t xml:space="preserve">El desarrollo del proyecto ha dado como resultado la instalación de equipos de inspección en 3 plantas de beneficio y el inicio de la verificación de cumplimiento de estandares sanitarios requeridos por Estados Unidos para exportación de carne bovina.
A pesar de que el proyecto esta en marcha se evidencian atrasos en actividades de gran impacto dentro del mismo como es la contratación del consultor internacional y la contratación de los servicios  de análisis de laboratorio, transporte y compra de insumos para toma de muestras. El atraso de dichas actividades generará que la toma de muestras y análisis de laboratorio tengan que posponerse así como la importación de insumos (algunos hasta con tiempos de 60 días). Los atrasos en mención no solo impactan el cronograma de trabajo si no tambien el presupuesto asignado de acuerdo al tiempo inicialmente contemplado pra el desarrollo de cada actividad.
</t>
    </r>
  </si>
  <si>
    <r>
      <rPr>
        <b/>
        <sz val="8"/>
        <rFont val="Arial"/>
        <family val="2"/>
      </rPr>
      <t>12.6:</t>
    </r>
    <r>
      <rPr>
        <sz val="8"/>
        <rFont val="Arial"/>
        <family val="2"/>
      </rPr>
      <t xml:space="preserve"> Se depuro la informacion de los procesos  de los deudores que no tienen acuerdo de pagos por regiones: En el Meta 29, en Santander 77 y en  Antioquia 67  en donde se identificaron aquellos deudores morosos que a la fecha no tienen acuerdo de pago. La programación que tiene establecida la Oficina Asesora Juridica  es la siguiente: En Meta el 27 de julio, en Antioquia el 27 Julio y en Santander el 30 de Julio. La oficina ha enviado correos electronicos a los sancionados con el fin de notificarlos de la reunion a realizar en dichas ciudades y algunos de ellos han confirmado su asistencia. De otra parte se han colocado afiches en los GTTS en donde se invita a la convocatoria a los sancionados a participar en las fechas señaladas.
</t>
    </r>
    <r>
      <rPr>
        <b/>
        <sz val="8"/>
        <rFont val="Arial"/>
        <family val="2"/>
      </rPr>
      <t xml:space="preserve">12.7: </t>
    </r>
    <r>
      <rPr>
        <sz val="8"/>
        <rFont val="Arial"/>
        <family val="2"/>
      </rPr>
      <t xml:space="preserve">Se  envió encuesta a todos los servidores públicos del Invima  262 funcionarios diligenciaron lla información solicitada. Se gestionaron con entidades externas para realizar actividades ambientales como: Secretaria Distrital de Ambiente y la Andi en programas como Sanra Punto Azul, Pilas con el Ambiente y Parque naturales en camitas ecológicas al Paramo de Moyas. 
</t>
    </r>
    <r>
      <rPr>
        <b/>
        <sz val="8"/>
        <rFont val="Arial"/>
        <family val="2"/>
      </rPr>
      <t xml:space="preserve">12.8: </t>
    </r>
    <r>
      <rPr>
        <sz val="8"/>
        <rFont val="Arial"/>
        <family val="2"/>
      </rPr>
      <t xml:space="preserve">Se recolecto toda la información de las encuestas realizadas a los GTTs y se tabulo la información dando como resultado: Que del total de los Grupos de Trabajo Territorial 4 no cuentas con abogados, 6 cuentan con un abogado, y 1 cuenta con dos, lo que no permitiría ante la desconcentración de tramites poder cumplir con la revisión legal de los tramites principalmente en los que no cuentan con estos funcionarios, todos los Grupos de Trabajo Territorial cuentan con recursos tecnológicos y con aplicativos institucionales que cubren la capacidad operativo actual; el 18% de los Grupos de Trabajo Territorial Creen que sus oficinas no pueden orientar, revisar y radicar trámites de registros sanitarios, el 82% restante si creen que lo pueden hacer, pero disminuiría la capacidad operativa para cumplir las funciones IVC y  el 100% de los GTTs cuentas con al menos 2 funcionarios que conocen y manejan el aplicativo de registros sanitarios. 
</t>
    </r>
  </si>
  <si>
    <r>
      <rPr>
        <b/>
        <sz val="8"/>
        <rFont val="Arial"/>
        <family val="2"/>
      </rPr>
      <t>15.5</t>
    </r>
    <r>
      <rPr>
        <sz val="8"/>
        <rFont val="Arial"/>
        <family val="2"/>
      </rPr>
      <t xml:space="preserve">: El proyecto está soportado en las buenas prácticas y el marco de referencia de arquitectura empresarial para aumentar la eficiencia operativa, gracias al mejoramiento de los servicios tecnológicos y el incremento del conocimiento de los funcionarios del Instituto, el cual esta en proceso de gestión de contratación.
</t>
    </r>
    <r>
      <rPr>
        <b/>
        <sz val="8"/>
        <rFont val="Arial"/>
        <family val="2"/>
      </rPr>
      <t>15.6</t>
    </r>
    <r>
      <rPr>
        <sz val="8"/>
        <rFont val="Arial"/>
        <family val="2"/>
      </rPr>
      <t xml:space="preserve">: Con este proyecto se implementaran buenas practicas para establecer el modelo integrado de gestión de la información que abarca el gobierno de datos, la seguridad de la información, continuidad de negocio y la administración documental del Instituto, el avance se ha dado en estudio de factibilidad y en proceso de estudio de mercado.
</t>
    </r>
    <r>
      <rPr>
        <b/>
        <sz val="8"/>
        <rFont val="Arial"/>
        <family val="2"/>
      </rPr>
      <t>15.7</t>
    </r>
    <r>
      <rPr>
        <sz val="8"/>
        <rFont val="Arial"/>
        <family val="2"/>
      </rPr>
      <t xml:space="preserve">: Para este proyecto de Diseño e implementación del modelo de Interoperabilidad (proyecto a nivel de la infraestructura tecnológica) el cual facilitará el intercambio de información con otras entidades (como el MSPS o la Unión Europea – Traces, por ejemplo). a la fecha se encuentra en proceso de definición, documentación e implementación del mismo. 
</t>
    </r>
  </si>
  <si>
    <r>
      <rPr>
        <b/>
        <sz val="8"/>
        <rFont val="Arial"/>
        <family val="2"/>
      </rPr>
      <t>16.7</t>
    </r>
    <r>
      <rPr>
        <sz val="8"/>
        <rFont val="Arial"/>
        <family val="2"/>
      </rPr>
      <t>:  Mediante oficio 02350-812-18 se hizo solicitud para adicionar al fondo de Administración INVIMA-ICETEX $200.000.000.oo
 En 2018 se han aprobado nueve (9) solicitudes: cinco (5) para maestría y cuatro (4) para especializació</t>
    </r>
  </si>
  <si>
    <r>
      <rPr>
        <b/>
        <sz val="8"/>
        <rFont val="Arial"/>
        <family val="2"/>
      </rPr>
      <t xml:space="preserve">17.3:  </t>
    </r>
    <r>
      <rPr>
        <sz val="8"/>
        <rFont val="Arial"/>
        <family val="2"/>
      </rPr>
      <t xml:space="preserve">De la etapa de diagnóstico indicada en el contrato interadministrativo con la Universidad de Antioquia se cuenta finalizada con los informes: Informe No 9. Procedimiento y diseño general de los equipos de prueba para los dispositivos de macrogoteo y sondas, Informe No 10. Pruebas preliminares ensayos balon sondas y el Informe No 11 Informe general Estado Arte_BasesDatos_Normas_DIseños Preliminares_dispositivos macrogoteo_sondas.
En referencia a la etapa Metodología de la investigación Dispositivo médico Sondas-equipos de macrogoteo se cuenta con el informe No 12. Diseño de equipos para evaluación de calidad de dispositivos de macrogoteo y sondas.  Este informe contiene un compendio de los diseños de los equipos para evaluación de la calidad de dispositivos de macrogoteo y de sondas, lo cuales son el equipo para el ensayo de determinación de la tasa de flujo de dispositivos de macrogoteo según la norma ISO 8536-4 y el equipo para realizar los ensayos de confiabilidad de desinflado de la sonda tipo Foley según la norma ASTM F623-99 (Ítem 6.6)– y de integralidad del balón en sondas gástricas según norma ASTM F2528 (Procedimiento F).  De igual forma se indican en el informe los componentes mecánicos, electrónicos y software de las máquinas a construir de acuerdo a los requerimientos de los laboratorios y de la norma aplicar. 
</t>
    </r>
  </si>
  <si>
    <r>
      <rPr>
        <b/>
        <sz val="8"/>
        <rFont val="Arial"/>
        <family val="2"/>
      </rPr>
      <t xml:space="preserve">
2,1: </t>
    </r>
    <r>
      <rPr>
        <sz val="8"/>
        <rFont val="Arial"/>
        <family val="2"/>
      </rPr>
      <t xml:space="preserve">N/A
</t>
    </r>
    <r>
      <rPr>
        <b/>
        <sz val="8"/>
        <rFont val="Arial"/>
        <family val="2"/>
      </rPr>
      <t xml:space="preserve">
2.6</t>
    </r>
    <r>
      <rPr>
        <sz val="8"/>
        <rFont val="Arial"/>
        <family val="2"/>
      </rPr>
      <t xml:space="preserve"> Se presenta la totalidad de los intercambios realizados, presupuesto, dependencias y funcionarios beneficiados año por año.
 Con base en la información recopilada se presentan gráficas y análisis riguroso de logros y retos.
Siete formularios cargados en plataforma virtual Invima parametrizados y habilitados para envío a los diferentes actores.</t>
    </r>
  </si>
  <si>
    <r>
      <rPr>
        <b/>
        <sz val="8"/>
        <rFont val="Arial"/>
        <family val="2"/>
      </rPr>
      <t xml:space="preserve">3,2: </t>
    </r>
    <r>
      <rPr>
        <sz val="8"/>
        <rFont val="Arial"/>
        <family val="2"/>
      </rPr>
      <t>N/A</t>
    </r>
  </si>
  <si>
    <r>
      <rPr>
        <b/>
        <sz val="8"/>
        <rFont val="Arial"/>
        <family val="2"/>
      </rPr>
      <t>13.8:</t>
    </r>
    <r>
      <rPr>
        <sz val="8"/>
        <rFont val="Arial"/>
        <family val="2"/>
      </rPr>
      <t xml:space="preserve">  El % de digitilización se ha disminuido, debido a que partir del mes de mayo se inicio el proceso  en los GTTS, los cuales representan un 90% aproximadamente de la información que recibe la DRS para iniciar los procesos sancionatorios. así mismo la Dirección con el apoyo de TIC capacitó los 10 GTTs para este proceso en las ciudades de: Pasto, Medellín, Monteria, Barranquilla, Cali, Villavicencio, Bucaramanga, Bogota, Armenia y Neiva.
Durante el primer semestre del 2018, se han digitalizado un total de 1598 insumos para iniciar procesos sancionatorios, de los cuales de abril - a junio corresponden 474. con un total acumulado de avance para el proyecto del 54% .
1</t>
    </r>
    <r>
      <rPr>
        <b/>
        <sz val="8"/>
        <rFont val="Arial"/>
        <family val="2"/>
      </rPr>
      <t>3.10:</t>
    </r>
    <r>
      <rPr>
        <sz val="8"/>
        <rFont val="Arial"/>
        <family val="2"/>
      </rPr>
      <t xml:space="preserve"> N/A
</t>
    </r>
    <r>
      <rPr>
        <b/>
        <sz val="8"/>
        <rFont val="Arial"/>
        <family val="2"/>
      </rPr>
      <t>13.12:</t>
    </r>
    <r>
      <rPr>
        <sz val="8"/>
        <rFont val="Arial"/>
        <family val="2"/>
      </rPr>
      <t xml:space="preserve"> Se evidencia  retrasos en las actividades de la fase de compra y legalizacion por lo que se recomienda realizar control de cambios en los que se detallen los incovenientes que se presentaron en el incumplimiento de las mismas, derivado de la demora en la entrega del Inmueble tipo Bodega.
Tambien se recomienda realizar un ajuste a los costos de los procesos de adquisición del sistema de control ambiental, instalación y puesta en funcionamiento del cableado estructurado para los nuevos puestos de trabajo de la Bodega, adquisición e instalación de estantería y mobiliario y  adecuación física de la bodega del archivo, teniendo en cuenta los tiempos tan ajustados para la ejecucion de los procesos en la actual vigencia.
</t>
    </r>
    <r>
      <rPr>
        <b/>
        <sz val="8"/>
        <rFont val="Arial"/>
        <family val="2"/>
      </rPr>
      <t xml:space="preserve">13.13: </t>
    </r>
    <r>
      <rPr>
        <sz val="8"/>
        <rFont val="Arial"/>
        <family val="2"/>
      </rPr>
      <t xml:space="preserve"> Se modificaron las fechas, se actualizaron las actividades y se contempla la ejecucion del proyecto hasta la vigencia 2019, comenzando con la fase I de Diseños con un valor estimado de 100 millones de pesos que se ejecutan en la vigencia 2018 con recursos del proyecto de Inversion Adquisición , remodelación y dotación infraestructura fisica invima a nivel nacional, a cargo de la actividad SUIFP "Realizar los procesos de estudios y  diseños de acuerdo a las necesidades detectadas", que ya se encuentra  actualizada dentro de la ficha EBI del proyecto de Inversion. 
Un vez revisado el cronograma del proyecto se evidencia que la fase de Diseños presenta retrasos en su ejecucion dado principalmente a las consideraciones dadas por los ejecutores en materia de realizar los estudios de Diseño sin antes contar con la licencia de construccion,  por lo que se recomienda desde la parte procedimental pasar un control de cambios una vez se defina si se realizan o no los estudios toda vez que la fase quedaria sin avance haciendo que el proyecto se presente en un estado critico por lo que es la unica fase contemplada para ejecutar en el año 2018.
</t>
    </r>
    <r>
      <rPr>
        <b/>
        <sz val="8"/>
        <rFont val="Arial"/>
        <family val="2"/>
      </rPr>
      <t>13.14:</t>
    </r>
    <r>
      <rPr>
        <sz val="8"/>
        <rFont val="Arial"/>
        <family val="2"/>
      </rPr>
      <t xml:space="preserve"> Se ven reflejados  los ajustes contempaldos en el seguimiento anterior, sin embargo aun no se ha definido  la adecuacion de los  laboratorios de microbiologia de productos farmaceuticos y otras tecnologias por lo que la ejecucion del proyecto continua de acuerdo a lo programado en el cronograma y HV.
De acuerdo a los supervisores del proyecto se requieren recursos adicionales  para las actividades de  Adecuar, remodelar, dotar de acuerdo a las necesidades la estructura física de los laboratorios y sedes administrativas del Invima la suma de 174 millones,   la actividad dotar de mobiliario las sedes administrativas y Laboratorios del Instituto requiere 200  millones adicionales , la actividad  de adquisición, instalación, puesta en funcionamiento del cableado estructurado para los nuevos puestos de trabajo de las sedes del invima que actualmente cuenta con 75 millones  se esta a la espera de consultar con el ingeniero de soporte tecnológico si se requiere de recursos adicionales y la actividad adquisicion e instalacion de plataforma salva-escaleras para la sede Administrativa del Invima, de la ciudad de Bogota, ubicada en la carrera 10 # 64-60 que incialmente contaba con $38.861.301, se ajusta a $48.919.313.
</t>
    </r>
    <r>
      <rPr>
        <b/>
        <sz val="8"/>
        <rFont val="Arial"/>
        <family val="2"/>
      </rPr>
      <t>13.15:</t>
    </r>
    <r>
      <rPr>
        <sz val="8"/>
        <rFont val="Arial"/>
        <family val="2"/>
      </rPr>
      <t xml:space="preserve"> Este proyecto institucional esta formulado para realizar la compra, adecuacion y dotacion de una nueva sede para el grupo de trabajo territorial de la sede Pasto Nariño, sin embargo las nuevas necesidades contempladas por la administarcion en especial la adecuacion de los laboratorios de microbiologia de productos farmaceuticos y otras tecnologias que implica recursos estimados por una suma cercana a los 1.200  millones de pesos, no han defindo con claridad si este proyecto se ejecuta en esta vigencia o en la proxima, para lo cual se recomienda que se replanteen las actividades a ejecutar junto con el cambio de actividades incluida sus fechas de ejecucion.
De acuerdo a lo anterior se propone replantear las fechas y el alcance del proyecto en el cual se incluyan los nuevos costos y las nuevas actividades que se deben definir con el gerente del Programa.
</t>
    </r>
  </si>
  <si>
    <r>
      <rPr>
        <b/>
        <sz val="8"/>
        <rFont val="Arial"/>
        <family val="2"/>
      </rPr>
      <t>4.1:</t>
    </r>
    <r>
      <rPr>
        <sz val="8"/>
        <rFont val="Arial"/>
        <family val="2"/>
      </rPr>
      <t xml:space="preserve"> Se evidencia una ejecución del 100% del proyecto y se obtiene un modulo de reportes en la  web validado y en marcha para  la integración de los Reportes Periódicos al Sistema de notificación ONLINE, que permite la gestión del Grupo de Reactivovigilancia y de las Secretarias de Salud,  la consulta ONLINE de las Alertas, Recall e Informes de seguridad y  la implementación de la Red Nacional por medio de la implementación de módulos informáticos de notificación ONLINE de eventos e incidentes adversos trimestrales, Recall, Informes de Seguridad, Alertas y Hurtos - FRIARH y la trazabilidad de los Raectivos de Diagnostico Inv</t>
    </r>
  </si>
  <si>
    <r>
      <rPr>
        <b/>
        <sz val="8"/>
        <rFont val="Arial"/>
        <family val="2"/>
      </rPr>
      <t xml:space="preserve"> 9.8</t>
    </r>
    <r>
      <rPr>
        <sz val="8"/>
        <rFont val="Arial"/>
        <family val="2"/>
      </rPr>
      <t xml:space="preserve">: Ejecución de sus actividades de 100%. Se da cierre.
Se analizaron las siguientes muestras por parte de la Oficina de Laboratorios y Control de Calidad:
*Pañitos húmedos:  19 de 19 muestras tomadas
*Shampo :                  24 de 24 muestras tomadas 
*Labial:                       12 de 12 muestras tomadas 
*Detergentes:            21 de 21 muestras tomadas. Total de muestras analizadas 76.
</t>
    </r>
    <r>
      <rPr>
        <b/>
        <sz val="8"/>
        <rFont val="Arial"/>
        <family val="2"/>
      </rPr>
      <t>9.9:</t>
    </r>
    <r>
      <rPr>
        <sz val="8"/>
        <rFont val="Arial"/>
        <family val="2"/>
      </rPr>
      <t xml:space="preserve"> De 395 muestras de Medicamentos tomadas por parte de las Entidades Territoriales de Salud se han analizado 358 muestras por parte de la Oficina de Laboratorios y  control de Calidad, se ha programado treinta (30) toma muestras de retención de medicamentos.
Suplementos dietarios se ha tomado 62 muestras y se ha hecho el control de calidad a veintiocho (28) muestras.
</t>
    </r>
    <r>
      <rPr>
        <b/>
        <sz val="8"/>
        <color rgb="FFFF0000"/>
        <rFont val="Arial"/>
        <family val="2"/>
      </rPr>
      <t xml:space="preserve">
</t>
    </r>
    <r>
      <rPr>
        <b/>
        <sz val="8"/>
        <rFont val="Arial"/>
        <family val="2"/>
      </rPr>
      <t xml:space="preserve">9.10:  </t>
    </r>
    <r>
      <rPr>
        <sz val="8"/>
        <rFont val="Arial"/>
        <family val="2"/>
      </rPr>
      <t xml:space="preserve">Muestras tomadas a la fecha: Cateteres: 10, Suturas: 20, Guantes : 16, Jeringas:8.  Enviadas a la Oficina de Laboratorios: Cateteres: 10, Suturas: 20, Guantes : 11.
Se sugiere realizar Control de Cambio para la actividad: Enviar las muestras tomadas a la Oficina de Laboratorios: Guantes, toda vez que por inconvenientes en la contratación del transporte de muestras no ha sido posible entregar en el Laboratorio las cinco (5) muestras tomadas en la ciudad de Cali en mayo 22 y la fecha de terminación de la actividad estaba programada para el 31 de mayo.
</t>
    </r>
    <r>
      <rPr>
        <b/>
        <sz val="8"/>
        <rFont val="Arial"/>
        <family val="2"/>
      </rPr>
      <t>9.11:</t>
    </r>
    <r>
      <rPr>
        <sz val="8"/>
        <rFont val="Arial"/>
        <family val="2"/>
      </rPr>
      <t xml:space="preserve">  Se adjudicó el contrato para insumos requeridos por el Laboratorio del Invima a la Unión Temporal  Duoquímica.
Se han muestreado  (73)  muestras de las (430)  planeadas para toma,  y se ha hecho el análisis de control de calidad de medicamentos muestras comerciales a  (12) muestras.
</t>
    </r>
    <r>
      <rPr>
        <b/>
        <sz val="8"/>
        <rFont val="Arial"/>
        <family val="2"/>
      </rPr>
      <t>9.12:</t>
    </r>
    <r>
      <rPr>
        <sz val="8"/>
        <rFont val="Arial"/>
        <family val="2"/>
      </rPr>
      <t xml:space="preserve"> Se ha tomado muestras en las ciudades de Monteria, Barrancabermeja e Ibagué así:
*Monteria : seis (6) muestras,  *Barrancabermeja: seis (6) muestras,  *Ibagué: seis (6) muestras.
Se programó toma de muestras en las ciudades de Yopal, Cali, Medellin y Armenia pero por  inconvenientes en el contrato de transporte de muestras se reprograma para el mes de septiembre.
Se ha analizado por parte de la Oficina de Laboratorios las siete (7) muestars tomadas en la ciudad de Riohacha y de igual forma se ha revisado los resultados de las mismas siete (7) muestras con resultado CONFORME.
</t>
    </r>
  </si>
  <si>
    <t>18.4 Crear el Observatorio Nacional y Regional de lucha contra la ilegalidad de productos competencia del Invima</t>
  </si>
  <si>
    <t>Desarrollo e implementación de un observatorio nacional y regional de ilegalidad, como herramienta que permita la medición del impacto  que genera  la importación, fabricación y comercialización de productos de uso y consumo humano  fraudulentos, no solo en la salud de la población sino además en la economía nacional y regional, midiendo de esta manera los recursos que se dejan de invertir en la salud colectiva de la población.</t>
  </si>
  <si>
    <r>
      <rPr>
        <b/>
        <sz val="8"/>
        <rFont val="Arial"/>
        <family val="2"/>
      </rPr>
      <t>10.11:</t>
    </r>
    <r>
      <rPr>
        <sz val="8"/>
        <rFont val="Arial"/>
        <family val="2"/>
      </rPr>
      <t xml:space="preserve">  Se realiza supervisión, seguimiento y refuerzo a la implementación del modelo en las ciudades de Santa Marta y Cartagena.
Se realiza listado de partidas arancelarias, el cual es enviado a la Direcciónde Operaciones Sanitarias para ser remitida a la DIAN.
Dado que no ha sido posible ejecutar la fase modelo para productos diferentes a alimentos, por dificultades de comunicación con la DIAN para la transferencia de la información requerida se sugiere radicar control de cambios en el que se ajusten fechas de las actividades programadas.
</t>
    </r>
    <r>
      <rPr>
        <b/>
        <sz val="8"/>
        <rFont val="Arial"/>
        <family val="2"/>
      </rPr>
      <t>10.14:</t>
    </r>
    <r>
      <rPr>
        <sz val="8"/>
        <rFont val="Arial"/>
        <family val="2"/>
      </rPr>
      <t xml:space="preserve"> *Selección de los establecimientos con los que se aplicará prueba piloto IC.
Teniendo en cuenta que el recurso tecnológico desarrollador se encontraba atendiendo requerimientos de puertos, a la fecha se cuenta con la habilitación de versión de prueba con la corrección solicitada de guía de autoevaluación sanitaria.
Se sugiere radicar control de cambios en el que se ajusten fechas de las actividades que no se han ejecutado de acuerdo a lo programado por la limitación de recurso desarrollador tecnológico.
</t>
    </r>
    <r>
      <rPr>
        <b/>
        <sz val="8"/>
        <rFont val="Arial"/>
        <family val="2"/>
      </rPr>
      <t>10.15</t>
    </r>
    <r>
      <rPr>
        <sz val="8"/>
        <rFont val="Arial"/>
        <family val="2"/>
      </rPr>
      <t xml:space="preserve">:  Documento ajustado con propuesta de plan de capacitación para entidades territoriales de salud que realizan actividades de inspección, vigilancia y control con enfoque de riesgo en alimentos y bebidas.
El plan de muestreo para cada uno de los productos priorizados se implementará por las ETS en el segundo semestre de 2018.
Matriz DOFA diligenciada para el diagnóstico circular 046, dando cumplimiento así a la fase de Recolección de Informa.
</t>
    </r>
    <r>
      <rPr>
        <b/>
        <sz val="8"/>
        <rFont val="Arial"/>
        <family val="2"/>
      </rPr>
      <t>10.18</t>
    </r>
    <r>
      <rPr>
        <sz val="8"/>
        <rFont val="Arial"/>
        <family val="2"/>
      </rPr>
      <t xml:space="preserve">: N/A
</t>
    </r>
    <r>
      <rPr>
        <b/>
        <sz val="8"/>
        <rFont val="Arial"/>
        <family val="2"/>
      </rPr>
      <t>10.20:</t>
    </r>
    <r>
      <rPr>
        <sz val="8"/>
        <rFont val="Arial"/>
        <family val="2"/>
      </rPr>
      <t xml:space="preserve">   Se atienden observaciones específicas para importadores interpuestas por parte de la DIAN y se envia a Coordinador de OEA.
 No ha sido posible dar cumplimiento a las actividades enmarcadas de la "Fase 2: Formular el plan de fortalecimiento de talento humano", por lo que se sugiere radicar control del cambios en el que se ajusten fechas o el alcance del mismo, segun lo que defina la misional.
La Dirección de Operaciones Sanitarias ha realizado el seguimiento y acompañamiento permanente en lo relacionado al módulo de cargue en los puertos de Santa Marta y Barranquilla, atendiendo y gestionando los ajustes que se han requerido logrando que a la fecha la herramienta opere de una manera estable.
</t>
    </r>
    <r>
      <rPr>
        <b/>
        <sz val="8"/>
        <rFont val="Arial"/>
        <family val="2"/>
      </rPr>
      <t xml:space="preserve">10.21: </t>
    </r>
    <r>
      <rPr>
        <sz val="8"/>
        <rFont val="Arial"/>
        <family val="2"/>
      </rPr>
      <t xml:space="preserve"> El 23-24 de Abril en Florencia-Caqueta capacitación de normatividad en producción de panela, queso y derivados lácteos.
El  28 de junio reunión de seguimiento en Florencia-Caqueta con Secretaria Departamental de Salud y Secretaria Departamental de Cultura.
 Capacitaciones con Organizaciones solidarias: Quibdo-Chocó / Riohacha-Guajira / Maicao-Guajira / Fonseca / Ibague-Tolima / Valledupar-Cesar en temas  de Normatividad, calidad e inocuidad de alimentos y bebidas y rotulado.
</t>
    </r>
    <r>
      <rPr>
        <b/>
        <sz val="8"/>
        <rFont val="Arial"/>
        <family val="2"/>
      </rPr>
      <t xml:space="preserve">10.22: </t>
    </r>
    <r>
      <rPr>
        <sz val="8"/>
        <rFont val="Arial"/>
        <family val="2"/>
      </rPr>
      <t xml:space="preserve"> No se tiene avance se espera la ejecución en el segundo semestre.
</t>
    </r>
    <r>
      <rPr>
        <b/>
        <sz val="8"/>
        <rFont val="Arial"/>
        <family val="2"/>
      </rPr>
      <t>10.23:</t>
    </r>
    <r>
      <rPr>
        <sz val="8"/>
        <rFont val="Arial"/>
        <family val="2"/>
      </rPr>
      <t xml:space="preserve"> Se cuenta con la depuración y clasificación total de las bases 2017, y hasta el mes de abril de 2018.
Para el mes de abril de las 181 radicaciones, 40 corresponden a radiofarmacos (biológicos), de las cuales 12 se clasifican en la categoria 4-5 del nivel de riesgo. 
A las clasificadas en alto riesgo se les validan ciertos parámetros específicos definidos por el grupo y de esta manera se determina su estado para posterior análisis, en los que se ha avanzado en trámites de abril-mayo 2017.
</t>
    </r>
    <r>
      <rPr>
        <b/>
        <sz val="8"/>
        <rFont val="Arial"/>
        <family val="2"/>
      </rPr>
      <t>10.24:</t>
    </r>
    <r>
      <rPr>
        <sz val="8"/>
        <rFont val="Arial"/>
        <family val="2"/>
      </rPr>
      <t xml:space="preserve"> Se ha desarrollado con la entrega de los productos de acuerdo a lo planificado y se inicio estructuración del producto No. 3, se cuenta con los soportes en fisico y en medio mágnetico de los productos contratados.
</t>
    </r>
    <r>
      <rPr>
        <b/>
        <sz val="8"/>
        <rFont val="Arial"/>
        <family val="2"/>
      </rPr>
      <t xml:space="preserve">10.25: </t>
    </r>
    <r>
      <rPr>
        <sz val="8"/>
        <rFont val="Arial"/>
        <family val="2"/>
      </rPr>
      <t xml:space="preserve">En lo corrido del año se han identificado y clasificado por ingrediente farmacéutico activo y laboratorio fabricante 2.547 trámites, de los cuales 1.526 corresponden a registros nuevos y 1.021 a renovaciones.
En el segundo trimestre del año el grupo de registro sanitario ejecuta 15 visitas nacionales, de las cuales se evidencian actas respectivas.
En el acumulado del año se registran 25 visitas nacionales.
</t>
    </r>
  </si>
  <si>
    <r>
      <rPr>
        <b/>
        <sz val="8"/>
        <rFont val="Arial"/>
        <family val="2"/>
      </rPr>
      <t xml:space="preserve">18.2:  </t>
    </r>
    <r>
      <rPr>
        <sz val="8"/>
        <rFont val="Arial"/>
        <family val="2"/>
      </rPr>
      <t>Proyecto elimindado. Se unifican los proyectos "Fortalecimiento del Invima en la producción y publicación de información en vigilancia sanitaria y  lucha contra la ilegalidad" y "Crear el Observatorio Nacional e Iberoamericano de lucha contra la ilegalidad de productos competencia del Invima" para crear "Observatorio  Nacional y Regional de lucha contra la Ilegalidad de productos competencia del Invima "</t>
    </r>
    <r>
      <rPr>
        <b/>
        <sz val="8"/>
        <rFont val="Arial"/>
        <family val="2"/>
      </rPr>
      <t xml:space="preserve">.
</t>
    </r>
    <r>
      <rPr>
        <sz val="8"/>
        <rFont val="Arial"/>
        <family val="2"/>
      </rPr>
      <t xml:space="preserve">
</t>
    </r>
    <r>
      <rPr>
        <b/>
        <sz val="8"/>
        <rFont val="Arial"/>
        <family val="2"/>
      </rPr>
      <t>18.3</t>
    </r>
    <r>
      <rPr>
        <sz val="8"/>
        <rFont val="Arial"/>
        <family val="2"/>
      </rPr>
      <t xml:space="preserve">:Proyecto elimindado,  teniendo en cuenta que revisadas las alternativas de ejecución, así como las situaciones administrativas que se podrían presentar debido a la implementación de la Convocatoria 428 de 2016, no era viable su desarrollo en la presente vigencia.  No obstante, con las acciones enmarcadas en el proyecto consolidado se abordan las tareas principales asociadas con la lucha contra la ilegalidad que estaban previstas.
</t>
    </r>
    <r>
      <rPr>
        <b/>
        <sz val="8"/>
        <rFont val="Arial"/>
        <family val="2"/>
      </rPr>
      <t xml:space="preserve">
18.4</t>
    </r>
    <r>
      <rPr>
        <sz val="8"/>
        <rFont val="Arial"/>
        <family val="2"/>
      </rPr>
      <t xml:space="preserve">:   Se crear el Observatorio  Nacional y Regional de lucha contra la Ilegalidad de productos competencia del Invima el cual ya fue publicado en la pagina web del Instituto.
Su objetivo general es el Desarrollo e implementación de un observatorio nacional y regional de ilegalidad, como herramienta que permita la medición del impacto  que genera  la importación, fabricación y comercialización de productos de uso y consumo humano  fraudulentos, no sólo en la salud de la población sino además en la economía nacional y regional, midiendo de esta manera los recursos que se dejan de invertir en la salud colectiva de la población.  </t>
    </r>
  </si>
  <si>
    <t>Porcentaje de Avance Acumulado por Proyecto Año 2018</t>
  </si>
  <si>
    <r>
      <rPr>
        <b/>
        <sz val="8"/>
        <rFont val="Arial"/>
        <family val="2"/>
      </rPr>
      <t>El proyecto 5.7 Plan Nacional e Verificación
5.7.1</t>
    </r>
    <r>
      <rPr>
        <sz val="8"/>
        <rFont val="Arial"/>
        <family val="2"/>
      </rPr>
      <t xml:space="preserve">: El proyecto presenta un avance del 92%, esta ejecución se soporta con el desarrollo de la fase de ejecución y analisis en su totalidad, mediante la cual se elabora el informe que consolida los siguientes resultados obtenidos 11 resultados rechazados, para lo cual el Invima realizó las acciones de internevcion correspondientes entre vistas de IVC y medidas sanitarias de seguridad.
</t>
    </r>
    <r>
      <rPr>
        <b/>
        <sz val="8"/>
        <rFont val="Arial"/>
        <family val="2"/>
      </rPr>
      <t xml:space="preserve">5.7.2: </t>
    </r>
    <r>
      <rPr>
        <sz val="8"/>
        <rFont val="Arial"/>
        <family val="2"/>
      </rPr>
      <t>La fase de planeación se realiza en un 100%. En el desarrollo de la fase de ejcución y analisis se han tomado 27 muestras de un total programado de 50 para un avance del 54% y no se han recibido análisis de laboratorio.</t>
    </r>
    <r>
      <rPr>
        <b/>
        <sz val="8"/>
        <rFont val="Arial"/>
        <family val="2"/>
      </rPr>
      <t xml:space="preserve">
5.7.3: </t>
    </r>
    <r>
      <rPr>
        <sz val="8"/>
        <rFont val="Arial"/>
        <family val="2"/>
      </rPr>
      <t>La fase de planeación se realiza en un 100%. En el desarrollo de la fase de ejcución y analisis se han tomado 9 muestras de 66 totales programadas para un avance del 14%.</t>
    </r>
    <r>
      <rPr>
        <b/>
        <sz val="8"/>
        <rFont val="Arial"/>
        <family val="2"/>
      </rPr>
      <t xml:space="preserve">
5.7.4: </t>
    </r>
    <r>
      <rPr>
        <sz val="8"/>
        <rFont val="Arial"/>
        <family val="2"/>
      </rPr>
      <t>El proyecto presenta un avance del 92%, esta ejecución se soporta con el desarrollo de la fase de ejecución y analisis en su totalidad, mediante la cual se elabora el informe que consolida los resultados obtenidos con 11 resultados rechazados, para lo cual el Invima realizó las acciones de internevcion correspondientes entre vistas de IVC y medidas sanitarias de seguridad.</t>
    </r>
    <r>
      <rPr>
        <b/>
        <sz val="8"/>
        <rFont val="Arial"/>
        <family val="2"/>
      </rPr>
      <t xml:space="preserve">
5.7.5: </t>
    </r>
    <r>
      <rPr>
        <sz val="8"/>
        <rFont val="Arial"/>
        <family val="2"/>
      </rPr>
      <t xml:space="preserve">El proyecto presenta un avance del 91%, esta ejecución se soporta con el desarrollo de la fase de ejecución y analisis en su totalidad, mediante la cual se elabora el informe que consolida los siguientes resultados obtenidos 11 resultados rechazados, para lo cual el Invima realizó las acciones de internevcion correspondientes entre vistas de IVC y medidas sanitarias de seguridad.
</t>
    </r>
    <r>
      <rPr>
        <b/>
        <sz val="8"/>
        <rFont val="Arial"/>
        <family val="2"/>
      </rPr>
      <t xml:space="preserve">5.8 Plan Nacional de Monitoreo 2017
5.8.1: </t>
    </r>
    <r>
      <rPr>
        <sz val="8"/>
        <rFont val="Arial"/>
        <family val="2"/>
      </rPr>
      <t>El proyecto presente un cumplimiento del 100% en su fase de planeación, En avance de su ejecución y análisis presenta un desarrollo del 42% identificando 3 análisis de laboratorio no conformes por presencia de Listeria Monocytogenes sobre los cuales se han remitido las directrices de intervención a la Dirección de Operaciones Sanitarias que consisten e verificar si el producto esta en planta y realizar la trazabilidad para del mismo para proceder a su recogida. Se realizan recomendaciones a los fabricantes sobre las condiciones de almacenamiento y temperatura del producto en la fabrica.</t>
    </r>
    <r>
      <rPr>
        <b/>
        <sz val="8"/>
        <rFont val="Arial"/>
        <family val="2"/>
      </rPr>
      <t xml:space="preserve">
5.8.2: </t>
    </r>
    <r>
      <rPr>
        <sz val="8"/>
        <rFont val="Arial"/>
        <family val="2"/>
      </rPr>
      <t>El proyecto presenta un avance del 88%, se evidencia que de las 180 muestras programadas por la DAB del Plan de Muetsreo de Salmonella spp en piezas de pollo (muestreo de enjuague de piezas de pollo) , seanalizó los  resultados recividos por parte del Laboratorio y algunos de estos rechazados por exceder el tiempo y la temperatura,  para lo cual se ha enviado unas directricez para hacer acciones de IVC de manera inmediata.</t>
    </r>
    <r>
      <rPr>
        <b/>
        <sz val="8"/>
        <rFont val="Arial"/>
        <family val="2"/>
      </rPr>
      <t xml:space="preserve">  
5.8.3: </t>
    </r>
    <r>
      <rPr>
        <sz val="8"/>
        <rFont val="Arial"/>
        <family val="2"/>
      </rPr>
      <t>El proyecto presenta un avance del 92%, esta ejecución se soporta con el desarrollo de la fase de ejeucción y analisis en su totalidad, mediante la cual se elaboró el informe que consolida los  resultados obtenidos entre los cuales se obtivieron resultados rechazados, para lo cual el Invima realizó las acciones de internevcion correspondientes entre vistas de IVC y medidas sanitarias de seguridad.</t>
    </r>
    <r>
      <rPr>
        <b/>
        <sz val="8"/>
        <rFont val="Arial"/>
        <family val="2"/>
      </rPr>
      <t xml:space="preserve">
5.8.4: </t>
    </r>
    <r>
      <rPr>
        <sz val="8"/>
        <rFont val="Arial"/>
        <family val="2"/>
      </rPr>
      <t>El proyecto presenta una ejecución del 78%, esta ejecución se soporta con el desarrollo de la fase de ejeucción y analisis en su totalidad, mediante la cual se elaboró el informe que consolida los  resultados obtenidos entre los cuales se obtivieron resultados rechazados, para lo cual el Invima realizó las acciones de internevcion correspondientes entre vistas de IVC y medidas sanitarias de seguridad.</t>
    </r>
    <r>
      <rPr>
        <b/>
        <sz val="8"/>
        <rFont val="Arial"/>
        <family val="2"/>
      </rPr>
      <t xml:space="preserve">
5.8.5:  </t>
    </r>
    <r>
      <rPr>
        <sz val="8"/>
        <rFont val="Arial"/>
        <family val="2"/>
      </rPr>
      <t>El proyecto presenta una ejecución del 77%, esta ejecución se soporta con el desarrollo de la fase de ejeucción y analisis en su totalidad, mediante la cual se elaboró el informe que consolida los  resultados obtenidos entre los cuales se obtivieron resultados rechazados, para lo cual el Invima realizó las acciones de internevcion correspondientes entre vistas de IVC y medidas sanitarias de seguridad.</t>
    </r>
    <r>
      <rPr>
        <b/>
        <sz val="8"/>
        <rFont val="Arial"/>
        <family val="2"/>
      </rPr>
      <t xml:space="preserve">
</t>
    </r>
    <r>
      <rPr>
        <sz val="8"/>
        <rFont val="Arial"/>
        <family val="2"/>
      </rPr>
      <t xml:space="preserve">
</t>
    </r>
    <r>
      <rPr>
        <b/>
        <sz val="8"/>
        <rFont val="Arial"/>
        <family val="2"/>
      </rPr>
      <t xml:space="preserve">5.9 Plan Nacional de verifiacuión 2018
5.9.1: </t>
    </r>
    <r>
      <rPr>
        <sz val="8"/>
        <rFont val="Arial"/>
        <family val="2"/>
      </rPr>
      <t xml:space="preserve">Se da cumplimiento a la fase de planeación y seiniciaa la ejecución y analisis presentando una ejecución del 24% del proyecto, con una muestra tomada y analizada. </t>
    </r>
    <r>
      <rPr>
        <b/>
        <sz val="8"/>
        <rFont val="Arial"/>
        <family val="2"/>
      </rPr>
      <t xml:space="preserve">
5.9.2: </t>
    </r>
    <r>
      <rPr>
        <sz val="8"/>
        <rFont val="Arial"/>
        <family val="2"/>
      </rPr>
      <t xml:space="preserve">Se da cumplimiento a la fase de planeación y se da inicio a la ejecución y analisis presentando una ejecución del 34% del proyecto, con una muestra tomada y analizada. </t>
    </r>
    <r>
      <rPr>
        <b/>
        <sz val="8"/>
        <rFont val="Arial"/>
        <family val="2"/>
      </rPr>
      <t xml:space="preserve">
5.9.4: </t>
    </r>
    <r>
      <rPr>
        <sz val="8"/>
        <rFont val="Arial"/>
        <family val="2"/>
      </rPr>
      <t xml:space="preserve">El proyecto presenta un avance del 21%, dió cumplimiento a la fase de placeación. Se se encuentra en la fase de ejecución y analisis, con el lineamiento para la toma de muestras remitido a las Entidades Territoriales de salud, quienes estan  realizando el muestreo. </t>
    </r>
    <r>
      <rPr>
        <b/>
        <sz val="8"/>
        <rFont val="Arial"/>
        <family val="2"/>
      </rPr>
      <t xml:space="preserve">
5.9.5: </t>
    </r>
    <r>
      <rPr>
        <sz val="8"/>
        <rFont val="Arial"/>
        <family val="2"/>
      </rPr>
      <t xml:space="preserve">El proyecto lleva un avance del 21%, este proyecto se encuentra en la fase de ejecución y analisis, con el lineamiento para la toma de muestras remitido a las Entidades Territoriales de salud, quienes estan  realizando el muestreo.  </t>
    </r>
    <r>
      <rPr>
        <b/>
        <sz val="8"/>
        <rFont val="Arial"/>
        <family val="2"/>
      </rPr>
      <t xml:space="preserve">
5.9.6: </t>
    </r>
    <r>
      <rPr>
        <sz val="8"/>
        <rFont val="Arial"/>
        <family val="2"/>
      </rPr>
      <t>El proyecto lleva un avance del 29%, este proyecto se encuentra en la fase de ejecución y analisis, con el lineamiento para la toma de muestras remitido a las Entidades Territoriales de salud, quienes estan  realizando el muestreo.</t>
    </r>
    <r>
      <rPr>
        <b/>
        <sz val="8"/>
        <rFont val="Arial"/>
        <family val="2"/>
      </rPr>
      <t xml:space="preserve">
5.9.7 </t>
    </r>
    <r>
      <rPr>
        <sz val="8"/>
        <rFont val="Arial"/>
        <family val="2"/>
      </rPr>
      <t xml:space="preserve">El proyecto resenta un avance del 49% de ejecución, centrado en la fase de planeación y algunos avances de la fase de ejecución y se esperan resultados durante el ultimo trimestre de 2018 y primer semestre de 2019.
</t>
    </r>
    <r>
      <rPr>
        <b/>
        <sz val="8"/>
        <rFont val="Arial"/>
        <family val="2"/>
      </rPr>
      <t xml:space="preserve">
5.10 Plan de Monitoreo 2018
5.10.1: </t>
    </r>
    <r>
      <rPr>
        <sz val="8"/>
        <rFont val="Arial"/>
        <family val="2"/>
      </rPr>
      <t>Se avanza en el desarrollo de la fase de planeación y en la fase de ejecución y analisis presentando una ejecución del 27%, centrado en la fase de planeación y algunos avances de la fase de ejecución y se esperan resultados durante el ultimo trimestre de 2018 y primer semestre de 2019.</t>
    </r>
    <r>
      <rPr>
        <b/>
        <sz val="8"/>
        <rFont val="Arial"/>
        <family val="2"/>
      </rPr>
      <t xml:space="preserve">
5.10.2: </t>
    </r>
    <r>
      <rPr>
        <sz val="8"/>
        <rFont val="Arial"/>
        <family val="2"/>
      </rPr>
      <t>Se avanza en el desarrollo de la fase de planeaciónpresentando una ejecución del 26%, centrado en la fase de planeación  y se esperan resultados durante el ultimo trimestre de 2018 y primer semestre de 2019.</t>
    </r>
  </si>
  <si>
    <r>
      <t xml:space="preserve">6.4:  </t>
    </r>
    <r>
      <rPr>
        <sz val="8"/>
        <rFont val="Arial"/>
        <family val="2"/>
      </rPr>
      <t xml:space="preserve">Se da cumplimiento a la ejecución de la planeación en un 100%. El proyecto se encuentra en su fase de ejecución y analisis avanzando en esta en un 22% en la cual se han tomado el 75% de las muestras avanzando.
</t>
    </r>
    <r>
      <rPr>
        <b/>
        <sz val="8"/>
        <rFont val="Arial"/>
        <family val="2"/>
      </rPr>
      <t xml:space="preserve">
6.6: </t>
    </r>
    <r>
      <rPr>
        <sz val="8"/>
        <rFont val="Arial"/>
        <family val="2"/>
      </rPr>
      <t>En la visita de la Tutoria el Plan presenta un avance del 40% de ejecución, centrado en la fase de planeación y algunos avances de la fase de ejecución  con un avance de 30 muestras de 100 programdas e iniciando el analisis de laboratorito de las mismas.</t>
    </r>
  </si>
  <si>
    <r>
      <rPr>
        <b/>
        <sz val="8"/>
        <rFont val="Arial"/>
        <family val="2"/>
      </rPr>
      <t xml:space="preserve">1.17: </t>
    </r>
    <r>
      <rPr>
        <sz val="8"/>
        <rFont val="Arial"/>
        <family val="2"/>
      </rPr>
      <t xml:space="preserve">N/A
</t>
    </r>
    <r>
      <rPr>
        <b/>
        <sz val="8"/>
        <rFont val="Arial"/>
        <family val="2"/>
      </rPr>
      <t>1.20:</t>
    </r>
    <r>
      <rPr>
        <sz val="8"/>
        <rFont val="Arial"/>
        <family val="2"/>
      </rPr>
      <t xml:space="preserve"> Proyecto elimindado.Se unifican los proyectos "Fortalecimiento del Invima en la producción y publicación de información en vigilancia sanitaria y  lucha contra la ilegalidad" y "Crear el Observatorio Nacional e Iberoamericano de lucha contra la ilegalidad de productos competencia del Invima", teniendo en cuenta que el diseño y elaboración de la revista, se fija como una actividad de difundir los resultados del observatorio de ilegalidad
</t>
    </r>
    <r>
      <rPr>
        <b/>
        <sz val="8"/>
        <rFont val="Arial"/>
        <family val="2"/>
      </rPr>
      <t xml:space="preserve">1.21 </t>
    </r>
    <r>
      <rPr>
        <sz val="8"/>
        <rFont val="Arial"/>
        <family val="2"/>
      </rPr>
      <t xml:space="preserve">: Dentro del desarrollo de la tutoria se pudo verificar el avance del proyecto dentro de la fase de ejecución en relacion a la actividad "Elaborar los mensajes institucionales de posicionamiento de la entidad en donde se han realizado un total de: 2,072 publicaciones en Facebook, en Twitter 2,847   y en youtube 35, en temas de Educación Sanitaria, comunicados de prensa y eventos. 
De otra parte  se han publicado 4 Boletines de los cuales 2 fueron realizados para los Empresarios y 2 dirigidos para los consumidores en general. 
</t>
    </r>
    <r>
      <rPr>
        <b/>
        <sz val="8"/>
        <rFont val="Arial"/>
        <family val="2"/>
      </rPr>
      <t>1.22</t>
    </r>
    <r>
      <rPr>
        <sz val="8"/>
        <rFont val="Arial"/>
        <family val="2"/>
      </rPr>
      <t xml:space="preserve">:Dentro de los ciclos de conversatorios realizados por la Oficina Asesora Juridica  se evidencio la realizacion de 6 ciclos de unificacion de criterios Jurídicos  realizados en las ciudades de: Medellín, Montería, Neiva, Armenia, Bucaramanga y Cartagena realizadas en los GTTs con una asistencia total de 155 abogados a los cuales les aplicaron  un total 37 encuestas con el fin de establecer temas que requieran ser tratados en proximas reuniones . 
De otra  parte, se realizaron un total 5 mesas de trabajo con los Entes Territoriales con el fin de Unificar criterios Jurídicos dentro del proceso de articulación de Normas que atañen al Institu
</t>
    </r>
    <r>
      <rPr>
        <b/>
        <sz val="8"/>
        <rFont val="Arial"/>
        <family val="2"/>
      </rPr>
      <t>1.23:</t>
    </r>
    <r>
      <rPr>
        <sz val="8"/>
        <rFont val="Arial"/>
        <family val="2"/>
      </rPr>
      <t xml:space="preserve">Se realizó el primer encuentro presencial  con los abogados del Nivel Nacional con una participación de 52 abogados en donde se hizo una presentacion de la oficina Asesora de Planeación y las funciones asignadas, dentro de la agenda de trabajo se socializo la política de prevención del daño antijurídico y establecio un espacio para establecer las conclusiones y compromisos del encuentro.
De dicha reunión se establecio el diseño de un formato para identificar temas para ser tratadas en el segundo encuentro a realiza
</t>
    </r>
    <r>
      <rPr>
        <b/>
        <sz val="8"/>
        <rFont val="Arial"/>
        <family val="2"/>
      </rPr>
      <t>1.24:</t>
    </r>
    <r>
      <rPr>
        <sz val="8"/>
        <rFont val="Arial"/>
        <family val="2"/>
      </rPr>
      <t xml:space="preserve"> Se  evidencia que le primer foro fue realizado el 12 de mayo de 2018 con la participación de los grupos de: Dispositivos Medicos y otras Tecnologias (5 Abogados) y el grupo de Medicamentos y Productos Biológicos con la participación de 9 abogados a los cuales le fueron aplicadas las encuestas correspondientes para identificar nuevos temas o normas a actualizar
</t>
    </r>
    <r>
      <rPr>
        <b/>
        <sz val="8"/>
        <rFont val="Arial"/>
        <family val="2"/>
      </rPr>
      <t xml:space="preserve">1.25: </t>
    </r>
    <r>
      <rPr>
        <sz val="8"/>
        <rFont val="Arial"/>
        <family val="2"/>
      </rPr>
      <t xml:space="preserve">Se presenta  avances relacionados la fase de diagnostico, planificación y ejecución mediante la cual se busca caracterizar las necesidades y expectativas de los posibles participantes en el desarrollo del ciclo 1 del proyecto de  Educación Sanitaria virtual del Programa Nacional de Tecnovigilancia (Fase IV),  para ampliar la cobertura y minimizar los costos de ejecución de las actividades de educación sanitaria.
</t>
    </r>
    <r>
      <rPr>
        <b/>
        <sz val="8"/>
        <rFont val="Arial"/>
        <family val="2"/>
      </rPr>
      <t>1.26</t>
    </r>
    <r>
      <rPr>
        <sz val="8"/>
        <rFont val="Arial"/>
        <family val="2"/>
      </rPr>
      <t xml:space="preserve">: Se evidencian  fichas técnicas que fueron elaboradas por: La Dirección de Alimentos y Bebidas, La Dirección de Operaciones Sanitarias, Dirección de Cosméticos, Aseo, Plaguicidas, y Productos de Higiene Domestica y la Dirección de Medicamentos y Productos Biológicos. Se han solicitado las cotizaciones  de entrenamiento a las Universidades de Antioquia, La Salle, Uniagraria, UDCA y la CES, queda pendiente la elaboración de los estudios previos que permitan la contratación de las universidades que prestaran dicho entrenamiento. 
Los funcionarios a los cuales estan dirigidas dichos entrenamientos estan en el orden de  364 funcionarios. 
</t>
    </r>
    <r>
      <rPr>
        <b/>
        <sz val="8"/>
        <rFont val="Arial"/>
        <family val="2"/>
      </rPr>
      <t>1.27</t>
    </r>
    <r>
      <rPr>
        <sz val="8"/>
        <rFont val="Arial"/>
        <family val="2"/>
      </rPr>
      <t>: '- Se consolidó el plan de trabajo para realizar las visitas en coordinación con la Dirección de Alimentos y bebidas y Atención al ciudadano en los eventos de "Registraton" programadas por la entidad en las siguientes ciudades: Florencia, Apartadó, Cali, Pasto, Villavicencio, Pereira, Bucaramanga, Barranquilla, cauca.
Adicionalmente se realizo reunión con la Dirección de Alimentos para contectualizar el proyecto y establecer la participación en cada una de las actividades.
El material que se utiliza en las registratones no presenta modificaciones en el contenido del entregado en la I fase de proyecto, se tiene contemplado hacer entrega de un din fin a los GTTS el cual esta en revisión por parte de la Dirección.
De acuerdo al plan de trabajo se desarrollo la primer registratón en la ciudad de Florencia los días 25 y 26 de junio de 2018, con una participación de 39 personas. adjunto link de una de las evidencias del evento: 
https://www.facebook.com/lenteregional/videos/1853307601391918/UzpfSTcxNzA3ODI3NTEwMjE4MToxMzUwNDgxODQxNzYxODE4/?comment_id=1351531031656899&amp;notif_id=1530207194768801&amp;notif_t=group_comment_mention</t>
    </r>
  </si>
  <si>
    <t>1.28 Educación Sanitaria Virtual para Inspectores oficiales, Inspectores auxiliares oficiales y auxiliares reconocidos y aprobados de las Plantas de Beneficio Animal de las especies bovina,  porcina y aviar que son vigiladas por el Invima</t>
  </si>
  <si>
    <t>Fortalecer el proceso de entrenamiento a Inspectores oficiales, Inspectores auxiliares oficiales y auxiliares reconocidos y aprobados de las Plantas de Beneficio Animal de las especies bovina,  porcina y aviar, responsables de realizar las actividades de inspección.</t>
  </si>
  <si>
    <r>
      <rPr>
        <b/>
        <sz val="8"/>
        <rFont val="Arial"/>
        <family val="2"/>
      </rPr>
      <t xml:space="preserve">2.6 </t>
    </r>
    <r>
      <rPr>
        <sz val="8"/>
        <rFont val="Arial"/>
        <family val="2"/>
      </rPr>
      <t xml:space="preserve"> Se encuentra en el desarrollo de la fase 2, adelantando acciones de consolidación de información recolectada una vez enviada la encuesta a las diferentes dependencias del Instituto. A la fecha se han recibido 16 encuestas diligenciadas, mediante la cual se pretende recopilar testimonios, consideraciones y experiencias de diferentes actores involucrados en la gestión de la cooperación internacional.
</t>
    </r>
  </si>
  <si>
    <r>
      <rPr>
        <b/>
        <sz val="8"/>
        <rFont val="Arial"/>
        <family val="2"/>
      </rPr>
      <t>7.4: Hortifrutícolas</t>
    </r>
    <r>
      <rPr>
        <sz val="8"/>
        <rFont val="Arial"/>
        <family val="2"/>
      </rPr>
      <t xml:space="preserve"> . El documento final aún esta en proceso de ajuste se requiere seguimiento y determinar las fechas de compromiso de entrega del documentos final y posterior divulgación con la Unidad de Riesgos, se recuerda la importancia del cumplimiento del cronograma de trabajo ya que este fue ajustado mediante control de cambios por lo que se supone que se contempló el tiempo que faltaria para dar cierre al proyecto.
</t>
    </r>
    <r>
      <rPr>
        <b/>
        <sz val="8"/>
        <rFont val="Arial"/>
        <family val="2"/>
      </rPr>
      <t>Hortifrutícolas (Cadmio-Cacao)</t>
    </r>
    <r>
      <rPr>
        <sz val="8"/>
        <rFont val="Arial"/>
        <family val="2"/>
      </rPr>
      <t xml:space="preserve">. Se requiere hacer seguimiento y determinar las fechas de compromiso de entrega del documento final con la Unidad de Riesgos, se recuerda la importancia del cumplimiento del cronograma de trabajo ya que este fue ajustado mediante control de cambios por lo que se supone que se contempló el tiempo que faltaria para realizar la divulgación de resultados del proyecto.
</t>
    </r>
    <r>
      <rPr>
        <b/>
        <sz val="8"/>
        <rFont val="Arial"/>
        <family val="2"/>
      </rPr>
      <t xml:space="preserve">7.5:  
Leche cruda: </t>
    </r>
    <r>
      <rPr>
        <sz val="8"/>
        <rFont val="Arial"/>
        <family val="2"/>
      </rPr>
      <t xml:space="preserve">El proyecto presenta un atraso en la fase de divulgación de resultados la cual debió ser terminada  el 31 de Agosto de 2018 se requiere hacer seguimiento y determinar las fechas de compromiso de entrega del documentos final y posterior divulgación con la Unidad de Riesgos, se recuerda la importancia del cumplimiento del cronograma de trabajo ya que este fue ajustado mediante control de cambios por lo que se supone que se contempló el tiempo que faltaria para realizar la divulgación de resultados del proyecto.
</t>
    </r>
    <r>
      <rPr>
        <b/>
        <sz val="8"/>
        <rFont val="Arial"/>
        <family val="2"/>
      </rPr>
      <t>Bovinos, Porcinos y Aves :</t>
    </r>
    <r>
      <rPr>
        <sz val="8"/>
        <rFont val="Arial"/>
        <family val="2"/>
      </rPr>
      <t xml:space="preserve"> La actividad de elaboración de informe final presenta un atraso considerable ya que debió ser terminada en la vigencia 2017 y respecto a la última tutoría no ha presentado avances</t>
    </r>
    <r>
      <rPr>
        <b/>
        <sz val="8"/>
        <rFont val="Arial"/>
        <family val="2"/>
      </rPr>
      <t xml:space="preserve">.
7.9 </t>
    </r>
    <r>
      <rPr>
        <sz val="8"/>
        <rFont val="Arial"/>
        <family val="2"/>
      </rPr>
      <t xml:space="preserve">Se esta a la espera de observaciones por parte de la Unidad de Riesgos, el informe final del proyecto no ha sido terminado.
</t>
    </r>
    <r>
      <rPr>
        <b/>
        <sz val="8"/>
        <rFont val="Arial"/>
        <family val="2"/>
      </rPr>
      <t xml:space="preserve">7.14: 7.14.1  </t>
    </r>
    <r>
      <rPr>
        <sz val="8"/>
        <rFont val="Arial"/>
        <family val="2"/>
      </rPr>
      <t>El ptroyecto terminó de acuerdo al cornograma y logro la aprobación de la Unión Europea en cuanto a la vigilancia de niveles de mercurio total en productos de la pesca.</t>
    </r>
    <r>
      <rPr>
        <b/>
        <sz val="8"/>
        <rFont val="Arial"/>
        <family val="2"/>
      </rPr>
      <t xml:space="preserve">
7.14.2 : </t>
    </r>
    <r>
      <rPr>
        <sz val="8"/>
        <rFont val="Arial"/>
        <family val="2"/>
      </rPr>
      <t>A la fecha se han recibido 205 resultados de laboratorio de 226 totales programados para un avance total del 91%.</t>
    </r>
    <r>
      <rPr>
        <b/>
        <sz val="8"/>
        <rFont val="Arial"/>
        <family val="2"/>
      </rPr>
      <t xml:space="preserve"> </t>
    </r>
    <r>
      <rPr>
        <sz val="8"/>
        <rFont val="Arial"/>
        <family val="2"/>
      </rPr>
      <t>Se presentan atrasos en la entrega de análisis de laboratorio debido a la demora en la contratación del servicio de transporte lo que puede generar que las actividades de revisión de resultados y la fase de cierre puedan verse impactadas en cuanto al cumplimientos de los tiempos establecidos ya que los análisis de laboratorio son un insumo fundamental para la elaboración del informe final.</t>
    </r>
    <r>
      <rPr>
        <b/>
        <sz val="8"/>
        <rFont val="Arial"/>
        <family val="2"/>
      </rPr>
      <t xml:space="preserve">
7.15: 
7.15.1:</t>
    </r>
    <r>
      <rPr>
        <sz val="8"/>
        <rFont val="Arial"/>
        <family val="2"/>
      </rPr>
      <t xml:space="preserve"> Como resultado del proyecto se han identificado presencia de metales pesados por lo que se ha remitido la información al ICA entidad encargada de tomar las medidas de intervención.
</t>
    </r>
    <r>
      <rPr>
        <b/>
        <sz val="8"/>
        <rFont val="Arial"/>
        <family val="2"/>
      </rPr>
      <t xml:space="preserve">7.15.2: </t>
    </r>
    <r>
      <rPr>
        <sz val="8"/>
        <rFont val="Arial"/>
        <family val="2"/>
      </rPr>
      <t>Como resultado del proyecto se ha identificado 20 resultados rechazados 18 en arepas, 1 en harina de maíz y muestra de maní sobre los cuales se presentó la propuesta de directriz con las acciones de intervención al grupo de vigilancia epidemiológico y al grupo técnico de alimentos.</t>
    </r>
    <r>
      <rPr>
        <b/>
        <sz val="8"/>
        <rFont val="Arial"/>
        <family val="2"/>
      </rPr>
      <t xml:space="preserve">
7.15.3 :</t>
    </r>
    <r>
      <rPr>
        <sz val="8"/>
        <rFont val="Arial"/>
        <family val="2"/>
      </rPr>
      <t xml:space="preserve"> A la fecha se han tomado y recibido el 100% de las muestras y análisis de laboratorio..Se encuentra en inicio del desarrollo de la fase de cierre.
</t>
    </r>
    <r>
      <rPr>
        <b/>
        <sz val="8"/>
        <rFont val="Arial"/>
        <family val="2"/>
      </rPr>
      <t xml:space="preserve">7.15.4; 7.15.5 y 7.15.6 : </t>
    </r>
    <r>
      <rPr>
        <sz val="8"/>
        <rFont val="Arial"/>
        <family val="2"/>
      </rPr>
      <t xml:space="preserve">Se encuentran en desarrollo de la etapa de cierre en espera de sea  remitido el documento para su publicación y de esta manera con la versión final aprobada realizar la presentación de los respectivos resultados
</t>
    </r>
    <r>
      <rPr>
        <b/>
        <sz val="8"/>
        <rFont val="Arial"/>
        <family val="2"/>
      </rPr>
      <t xml:space="preserve">7.16: </t>
    </r>
    <r>
      <rPr>
        <sz val="8"/>
        <rFont val="Arial"/>
        <family val="2"/>
      </rPr>
      <t xml:space="preserve">
</t>
    </r>
    <r>
      <rPr>
        <b/>
        <sz val="8"/>
        <rFont val="Arial"/>
        <family val="2"/>
      </rPr>
      <t>7.16.1; 7.16.2; 7.16.3; 7.16.4; 7.16.5;</t>
    </r>
    <r>
      <rPr>
        <sz val="8"/>
        <rFont val="Arial"/>
        <family val="2"/>
      </rPr>
      <t xml:space="preserve"> Se encuentran en desarrollo de la fase de  ejecución y analisis terminando  entrega de resultados de laboratorios, para dar inicio al  cierre del proyecto con el informe correspondiente.
</t>
    </r>
    <r>
      <rPr>
        <b/>
        <sz val="8"/>
        <rFont val="Arial"/>
        <family val="2"/>
      </rPr>
      <t xml:space="preserve">16,6,6: </t>
    </r>
    <r>
      <rPr>
        <sz val="8"/>
        <rFont val="Arial"/>
        <family val="2"/>
      </rPr>
      <t xml:space="preserve">Se enucentra en la etapa de cierre esperando observaciones para ajustes al documento final.
</t>
    </r>
    <r>
      <rPr>
        <b/>
        <sz val="8"/>
        <rFont val="Arial"/>
        <family val="2"/>
      </rPr>
      <t xml:space="preserve">7.17: 
17.7.1. y 17.7.2: </t>
    </r>
    <r>
      <rPr>
        <sz val="8"/>
        <rFont val="Arial"/>
        <family val="2"/>
      </rPr>
      <t xml:space="preserve">se encuencuentran  terminando el desarrollo de la fase de ejecución y analisis, sobre los cuales se ha hecho la respectiva revisión de resultados de acuerdo a la normatividad vigente y no se han identificado resultados rechazados.
</t>
    </r>
    <r>
      <rPr>
        <b/>
        <sz val="8"/>
        <rFont val="Arial"/>
        <family val="2"/>
      </rPr>
      <t xml:space="preserve">7.18: 
7.18.1; </t>
    </r>
    <r>
      <rPr>
        <sz val="8"/>
        <rFont val="Arial"/>
        <family val="2"/>
      </rPr>
      <t>Se han recibido 17 análisis de laboratorio para un avance total del 6%. Durante el proceso de revisión de resultados de acuerdo a la normatividad se han identificado 8 resultados rechazados.</t>
    </r>
    <r>
      <rPr>
        <b/>
        <sz val="8"/>
        <rFont val="Arial"/>
        <family val="2"/>
      </rPr>
      <t xml:space="preserve">
 7.18.2; </t>
    </r>
    <r>
      <rPr>
        <sz val="8"/>
        <rFont val="Arial"/>
        <family val="2"/>
      </rPr>
      <t>Se encuentra en desarrollo de la etapa de ejecución y analisis de acuerdo al cronograma estabelcido.</t>
    </r>
    <r>
      <rPr>
        <b/>
        <sz val="8"/>
        <rFont val="Arial"/>
        <family val="2"/>
      </rPr>
      <t xml:space="preserve">
 7.18.3; </t>
    </r>
    <r>
      <rPr>
        <sz val="8"/>
        <rFont val="Arial"/>
        <family val="2"/>
      </rPr>
      <t>Se han recibido 78 análisis de laboratorio para un avance del 63%. Producto de la revisión de resultados de acuerdo a la normatividad vigente se han identificado 6 resultados</t>
    </r>
    <r>
      <rPr>
        <b/>
        <sz val="8"/>
        <rFont val="Arial"/>
        <family val="2"/>
      </rPr>
      <t xml:space="preserve"> rechazados.
7.18.4:</t>
    </r>
    <r>
      <rPr>
        <sz val="8"/>
        <rFont val="Arial"/>
        <family val="2"/>
      </rPr>
      <t xml:space="preserve"> Se encuentra en la fase de ejceución y analisis con 55 muestras toamdas de 111 totales programadas para un avance total del 49% y s</t>
    </r>
    <r>
      <rPr>
        <b/>
        <sz val="8"/>
        <rFont val="Arial"/>
        <family val="2"/>
      </rPr>
      <t>e han recibido 24 análisis de laboratorio.
7.18.5:</t>
    </r>
    <r>
      <rPr>
        <sz val="8"/>
        <rFont val="Arial"/>
        <family val="2"/>
      </rPr>
      <t xml:space="preserve">se han identificado 6 resultados no conformes en productos de hamburgesas de Quinoua, pastas, bebidas de soja, galletas de proteina de arveja y barras de cereal, información que ha sido remitida al Grupo de Vigilancia Epidemiológica y a la Oficina de Asuntos Internacionales para el caso de los productos importados en donde se debe notificar al país de origen.
</t>
    </r>
    <r>
      <rPr>
        <b/>
        <sz val="8"/>
        <rFont val="Arial"/>
        <family val="2"/>
      </rPr>
      <t xml:space="preserve">
7.19: 
7.19.1:</t>
    </r>
    <r>
      <rPr>
        <sz val="8"/>
        <rFont val="Arial"/>
        <family val="2"/>
      </rPr>
      <t>A la fecha se han tomado 163 muestras de 2803 totales programadas para un avance total del 6%, sin resultados rechazados.</t>
    </r>
    <r>
      <rPr>
        <b/>
        <sz val="8"/>
        <rFont val="Arial"/>
        <family val="2"/>
      </rPr>
      <t xml:space="preserve">
 7.19.2: A la fecha se han tomado 30 muestras de 696 totales programadas para un avance total del 4%.
A la fecha se han recibido 10 análisis de laboratorio del Invima para un avance del 4%.
Se dio inicio con los análisis del laboratorio Invima como estrategia para optimizar recursos mientras se tiene la totalidad de la contratación con laboratorios tercerizados.
7.19.3: Se da inicio a la toma de muestras priorizando los análisis por parte del laboratorio Invima mientras se suscribe contrato con laboratorios tercerizados, hasta el mes de agosto se han tomado 207 muestras de un total de 1728 programadas para un avance total del 12%.
Se ha realizado el análisis a 63 muestras por parte del laboratorio Invima para un avance del 15%
7.19.4: Se encuentra en desarrollo de toma de muestras y analisis de laboratorio,</t>
    </r>
    <r>
      <rPr>
        <sz val="8"/>
        <rFont val="Arial"/>
        <family val="2"/>
      </rPr>
      <t xml:space="preserve"> de acuerdo al cronograma establecido.</t>
    </r>
  </si>
  <si>
    <r>
      <rPr>
        <b/>
        <sz val="8"/>
        <rFont val="Arial"/>
        <family val="2"/>
      </rPr>
      <t xml:space="preserve">9.9: </t>
    </r>
    <r>
      <rPr>
        <sz val="8"/>
        <rFont val="Arial"/>
        <family val="2"/>
      </rPr>
      <t>Se da cumplimiento a la fase de planeación. En el desarrollo de la fase de ejecución y analisis se tomó 73 muestras de suplementos dietarios:</t>
    </r>
    <r>
      <rPr>
        <b/>
        <sz val="8"/>
        <rFont val="Arial"/>
        <family val="2"/>
      </rPr>
      <t xml:space="preserve">
9.10: </t>
    </r>
    <r>
      <rPr>
        <sz val="8"/>
        <rFont val="Arial"/>
        <family val="2"/>
      </rPr>
      <t>El proyecto se encuentra en fase de ejecución y analisis tomando muestras de: *Cateteres:10,  *Suturas: 20,  *Guantes : 16,  *Jeringas:17, *Sondas: 6, *Equipos de Macrogoteo: 6, *Preservativos: 9, de igual forma han sido enviadas al Laboratorio la misma cantidad de muestras para su análisis.
El Laboratorio ha reportado resultado de: *Cateteres: 10, *Suturas: 20, * Guantes de Latex: 16  (catorce (14) con resultado CONFORME y dos (2) con resultado NO CONFORME),  *Jeringas: 15, *Sondas: 3</t>
    </r>
    <r>
      <rPr>
        <b/>
        <sz val="8"/>
        <rFont val="Arial"/>
        <family val="2"/>
      </rPr>
      <t xml:space="preserve">
9.11: </t>
    </r>
    <r>
      <rPr>
        <sz val="8"/>
        <rFont val="Arial"/>
        <family val="2"/>
      </rPr>
      <t>Desarrollo la fase de planeación surtiendo la actividad de convocatoria para proceso de autorización de laboratorios por parte del Invima. Se llevó a cabo la revisión y elaboración de los formatos de estudios previos para contratación de análisis de calidad , falta resolución de autorización por parte de Invima</t>
    </r>
    <r>
      <rPr>
        <b/>
        <sz val="8"/>
        <rFont val="Arial"/>
        <family val="2"/>
      </rPr>
      <t xml:space="preserve">
9.12:  </t>
    </r>
    <r>
      <rPr>
        <sz val="8"/>
        <rFont val="Arial"/>
        <family val="2"/>
      </rPr>
      <t>Una vez realizada la III tutoria, el proyecto presenta avance de ejecución de 63%.. Se tomaron muestras en las ciudades de  *Florencia : cinco (5) muestras,  *Armenia: siete (7) muestras. A la fecha se ha realizado por parte del Laboratorio el análisis de las siguientes muestras:  
*Tratamientos capilares: once (11) muestras, *Polvos compactos:          tres   (3) muestras, *Jabones y detergentes líquidos: doce (12) muestras, *Jabones cosméticos: seis (6) muestras. Se ha hecho reposición de muestras en la ciudades de Riohacha, cartagena, Monteria, Barranca, Ibagué y Florencia</t>
    </r>
    <r>
      <rPr>
        <b/>
        <sz val="8"/>
        <rFont val="Arial"/>
        <family val="2"/>
      </rPr>
      <t>.</t>
    </r>
  </si>
  <si>
    <t>10.26. Fortalecimiento técnico a establecimientos fabricantes de bebidas alcohólicas para el cumplimiento del decreto 1686 de 2012 y la certificación en BPM</t>
  </si>
  <si>
    <t>Fortalecer el conocimiento técnico- legal de los establecimientos que fabriquen, elaboren, hidraten y/o envasen bebidas alcoholicas en el territorio nacional.
1. Realizar talleres de  capacitación  técnica a los establecimientos que fabriquen, elaboren, hidraten y/o envasen bebidas alcoholicas en el territorio nacional.
2. Socializar a través de material físico y audivisual información técnica sobre control de calidad y aseguramiento de calidad en el proceso productivo en  establecimientos que fabriquen, elaboren, hidraten y/o envasen bebidas alcoholicas en el territorio nacional.</t>
  </si>
  <si>
    <r>
      <t xml:space="preserve">12.6: </t>
    </r>
    <r>
      <rPr>
        <sz val="8"/>
        <rFont val="Arial"/>
        <family val="2"/>
      </rPr>
      <t>El proyecto se encuentra dentro de los parámetros establecidos en el cronograma, proximo a finalizar, desarrollando las jornadas:90%
Formalizacion de acuerdos de pago: 90%, Elaborar el informe de cierre y resultados obtenidos con el desarrollo del proyecto:90% y Determinar la realización de jornadas en otras ciudades: 90%, realizando 22 acuerdos de pagos por un valor de $403,552,162 discriminados así:
* 1 jornada realizada  el 27 de julio  de 2018 en la ciudad de medellín con cuatro(4) acuerdos por valor de $78,143,486
* 2 jornada realizada el 27 de julio de 2018 en la ciudad de Villavicencio con cinco(5) acuerdos por valor de $144,092,743
* 3 jornada realizada el 30 de julio de 2018 en la ciudad de Bucaramanga con cinco(5) acuerdos por valor de $ 61,883,534
* 4 jornada realizada en Bogotá, Cundinamarca y Boyaca con ocho(8) acuerdos por valor de $119,432,399
Por ultimo se tiene previsto realizar otras jornadas en Barranquilla, Cali y Eje cafetero en lo que resta del mes de octubre</t>
    </r>
    <r>
      <rPr>
        <b/>
        <sz val="8"/>
        <rFont val="Arial"/>
        <family val="2"/>
      </rPr>
      <t xml:space="preserve">
12.7: </t>
    </r>
    <r>
      <rPr>
        <sz val="8"/>
        <rFont val="Arial"/>
        <family val="2"/>
      </rPr>
      <t>Se efectuaron actividades de entrenamiento a las siguientes dependencias:Grupo de Talento Humano, Oficina de laboratorios y Control de Calidad y al Grupo de Gestión Administrativa en el tema de Responsabilidad Ambiental.</t>
    </r>
    <r>
      <rPr>
        <b/>
        <sz val="8"/>
        <rFont val="Arial"/>
        <family val="2"/>
      </rPr>
      <t xml:space="preserve">
12.8: </t>
    </r>
    <r>
      <rPr>
        <sz val="8"/>
        <rFont val="Arial"/>
        <family val="2"/>
      </rPr>
      <t xml:space="preserve">Se estima inicie el proyecto en el IV  trimestre en donde se realizara todo el proceso de capacitación a los funcionarios de las 10 GTTs en los temas como estan establecidos dentro del plan del Plan Piloto  en los  tramites sencillos como: Autos, Respuestas de Autos, Recursos de Reposición, solicitud de correpción, anexos y alcances. </t>
    </r>
  </si>
  <si>
    <t>SUSPENDIDO</t>
  </si>
  <si>
    <t>14:24 Invima a un click Fase 2</t>
  </si>
  <si>
    <r>
      <t xml:space="preserve">16.7: </t>
    </r>
    <r>
      <rPr>
        <sz val="8"/>
        <rFont val="Arial"/>
        <family val="2"/>
      </rPr>
      <t>El día 3 de octubre de 2018 se hizo desembolso de $200,000,000,oo
La convocatoria para presentación de postulaciones para acceder a los programas de educación formal sigue abierta, las cuatro últimas solicitudes corresponden a Carlos Arturo Palacio Arías, Aura Lucia Chacón Legarda, Mauricio Sánchez Acevedo y Myrian Rivera Rico, las dos primeras ya fueron aprobadas.
Se ha hecho la revisión y consolidación de las solicitudes presentadas, de igual forma se han llevado ante la comisión de personal  las de los funcionarios  Carlos Arturo Palacio Arías, Aura Lucia Chacón Legarda y se aprobaron en acta # 16 de Agosto 15.
Se evidencia oficios dirigidos a los funcionarios donde se ha realizado las comunicaciones pertinentes para que realicen los trámites para acceder al crédito correspondiente, de igual forma solicitudes a Icetex respecto a créditos nuevos y renovaciones.
Se ha realizado seguimiento al cumplimiento del reglamento operativo mediante correo a los funcionarios solicitando información referente documentación, actualización de datos, recibos de matrícula, etc.
Se presentó Informe anual con los resultados de gestión: Condiciones para financiamiento curso idiomas, Estado convenio, Trámites, avances y actividades en la gestión del fondo.</t>
    </r>
  </si>
  <si>
    <r>
      <t xml:space="preserve">17.3: </t>
    </r>
    <r>
      <rPr>
        <sz val="8"/>
        <rFont val="Arial"/>
        <family val="2"/>
      </rPr>
      <t>se esta realizando de acuerdo a las fechas programadas en el cronograma del proyecto con: En referencia a la etapa Metodología de la investigación Dispositivo médico Sondas-equipos de macrogoteo se cuenta con el informe No 13. Especificaciones de diseño de equipos para evaluación de calidad de dispositivos de macrogoteo y sondas.  Este informe se indican las dimensiones, especificaciones, componentes electrónicos, electricos y software que se requiere el equipo, descripción de partes de los equipos para el ensayo de determinación de la tasa de flujo de dispositivos de macrogoteo según la norma ISO 8536-4 y el equipo para realizar los ensayos de confiabilidad de desinflado de la sonda tipo Foley según la norma ASTM F623-99 (Ítem 6.6)– y de integralidad del balón en sondas gástricas según norma ASTM F2528 (Procedimiento F).  
De igual forma se han realizado las actas de trabajo para conocer los avances del montaje y puesta en funcionamiento de los equipos en conjunto con la Universidad de Antioquia como se observa en las Actas No. 9 y 11, donde se tiene planeado realizar el montaje del  equipo, prototipos e instrumentos para la realización del ensayo de las sondas y equipos de macrogoteo y realizar ensayos preliminares o piloto para determinar las variables, condiciones ambientales,  que incidan directamente en las mediciones sobre el control de calidad de los productos en la Universidad de Antioquia.
Adicionalmente se ha empezado la etapa Verificación estadística  Equipos 2016-2017 como se observa en el acta No. 10 donde se presenta propuesta del diseño de experimentos para realizar la verificación del ensayo de jalado para las sondas foley y también se realizó seguimiento en el acta No. 11.</t>
    </r>
  </si>
  <si>
    <r>
      <t xml:space="preserve">
18.4: </t>
    </r>
    <r>
      <rPr>
        <sz val="8"/>
        <rFont val="Arial"/>
        <family val="2"/>
      </rPr>
      <t>Se socializó la propuesta del Observatorio Regional y la bateria de indicadores en  México, España, Paraguay, Colombia y El Salvador.
 Se producen boletines trimestrales sobre llegalidad a nivel nacional competencia del Invima de acuerdo  a los casos reportados. Para el últmo trimestre el tema es Cómo identificar Dispositivos y Cosméticos ilegales.</t>
    </r>
  </si>
  <si>
    <t>3,2: Proyecto Terminado</t>
  </si>
  <si>
    <r>
      <rPr>
        <b/>
        <sz val="8"/>
        <rFont val="Arial"/>
        <family val="2"/>
      </rPr>
      <t>4.1:</t>
    </r>
    <r>
      <rPr>
        <sz val="8"/>
        <rFont val="Arial"/>
        <family val="2"/>
      </rPr>
      <t xml:space="preserve"> </t>
    </r>
    <r>
      <rPr>
        <b/>
        <sz val="8"/>
        <rFont val="Arial"/>
        <family val="2"/>
      </rPr>
      <t>Proyecto Terminado</t>
    </r>
  </si>
  <si>
    <r>
      <t xml:space="preserve">1.21: </t>
    </r>
    <r>
      <rPr>
        <sz val="8"/>
        <rFont val="Arial"/>
        <family val="2"/>
      </rPr>
      <t>En avance de la fase de ejecución se elaboraron mensajes institucionales de posicionamiento de la entidad que protege la salud de los colombianos ,dicha actividad se realiza en las redes sociales en Facebook,  Twitter   y en youtube  cada hora. Dentro de las piezas  audivisuales que se han realizado a la fecha estan: 
Recomendaciones para el consumo y uso seguro de productos en Halloween; Socializacion del Decreto 1.500 de 2007.
Dentro de las campañas que  adelanta actualmente el Instituto esta: No trague entero. Compre carne con todas las de la Ley, que busca sensibilizar a los colombianos sobre la importancia de consumir carne legal y segura que no afecte su salud; la cual está dirigida a consumidores, expendedores, plantas de beneficio (mataderos) y secretarías de salud territorial.</t>
    </r>
    <r>
      <rPr>
        <b/>
        <sz val="8"/>
        <rFont val="Arial"/>
        <family val="2"/>
      </rPr>
      <t xml:space="preserve">
1.22: </t>
    </r>
    <r>
      <rPr>
        <sz val="8"/>
        <rFont val="Arial"/>
        <family val="2"/>
      </rPr>
      <t>En la fase dos se programaron los conversatorios para el 31 de octubre a Barranquilla y el 02 de noviembre a la ciudad de Cali, se encuentra en trámite la deficnición  de la fecha  a la ciudad de villavicencio.</t>
    </r>
    <r>
      <rPr>
        <b/>
        <sz val="8"/>
        <rFont val="Arial"/>
        <family val="2"/>
      </rPr>
      <t xml:space="preserve">
1.23: </t>
    </r>
    <r>
      <rPr>
        <sz val="8"/>
        <rFont val="Arial"/>
        <family val="2"/>
      </rPr>
      <t>En el desarrollo de la 2da fase del proyecto, se programó para el 29 de octubre de 2018 el segundo encuentro presencial con la participacion de 130 abogados del Invima a nivel nacional el cual fue tramitado mediante correo electrónico del 02 de octubre de 2018 en donde se desarrollaran los siguientes temas 
• Sancionatorio procesal administrativo.  ( considero que este tema lo manejas muy bien) 
• Articulación conceptos sobre la aplicación del art 52 de la ley 1437 de 2011 concepto 
• Marcas, protección de datos y argumentación jurídica.
• Contratación (en este tema nos puede ayudar un profesional del Grupo de Gestión Contractual) 
• Temas relacionados con reformas en temas de salud.</t>
    </r>
    <r>
      <rPr>
        <b/>
        <sz val="8"/>
        <rFont val="Arial"/>
        <family val="2"/>
      </rPr>
      <t xml:space="preserve">
1.24:</t>
    </r>
    <r>
      <rPr>
        <sz val="8"/>
        <rFont val="Arial"/>
        <family val="2"/>
      </rPr>
      <t xml:space="preserve"> En la 2da  fase se realizó el</t>
    </r>
    <r>
      <rPr>
        <b/>
        <sz val="8"/>
        <rFont val="Arial"/>
        <family val="2"/>
      </rPr>
      <t xml:space="preserve"> </t>
    </r>
    <r>
      <rPr>
        <sz val="8"/>
        <rFont val="Arial"/>
        <family val="2"/>
      </rPr>
      <t>foro  con la participación de 20 personas de la Dirección de Medicamentos y Productos Biológicoslos temas que se desarrollaron fueron:
Resolución 3157 de 2018 Guía para el desarrollo y presentación de los estudios de estabilidad de medicamentos de sintesis Química 
Resolución 3311 de 2018 Por el cual se define el estándar  de datos de medicamentos de uso humano en Colombia y se dictan otras disposiciones
Dicha invitacin se envio mediante correo electronico de fecha 01 de octubre de 2018 por la Doctora Melissa Triana Luna con los temas a tratar.</t>
    </r>
    <r>
      <rPr>
        <b/>
        <sz val="8"/>
        <rFont val="Arial"/>
        <family val="2"/>
      </rPr>
      <t xml:space="preserve">
1.25: </t>
    </r>
    <r>
      <rPr>
        <sz val="8"/>
        <rFont val="Arial"/>
        <family val="2"/>
      </rPr>
      <t>Se presenta avance de ejecución del proyecto de 100%, lo cual obedece al desarrollo de las actividades dentro de los tiempos establecidos en el cronograma inicial.
Se cumple con el objetivo del proyecto que es Fortalecer el proceso de capacitación y asistencia técnica a través de la Plataforma Aula Virtual Invima aplicando la metodología de enseñanza/aprendizaje e-learning y cuyo impacto es Mejorar la accesibilidad y la oportunidad a los actores de la red nacional de Tecnovigilancia y a los miembros de la OPS, para el fortalecimiento de la vigilancia postmercado de dispositivos médicos, la implementación de sus programas institucionales de Tecnovigilancia y la gestion de eventos e incidentes adversos a través de sistemas de gestión de riesgo clínico apuntando  a mejorar la atención segura del paciente.   Minimizar costos para el Invima, en cuanto a formación y promoción en materia sanitaria a los actores involucrados.</t>
    </r>
    <r>
      <rPr>
        <b/>
        <sz val="8"/>
        <rFont val="Arial"/>
        <family val="2"/>
      </rPr>
      <t xml:space="preserve">
1.26: </t>
    </r>
    <r>
      <rPr>
        <sz val="8"/>
        <rFont val="Arial"/>
        <family val="2"/>
      </rPr>
      <t>En el avance del la 1era fasese solicitaron cotizaciones con las siguientes universidades:  Universidad  de Antioquia, UNIAGRARIO, UDCA, CES y la Universidad de la Salle, de las cuales se seleccionaron CES y la Universidad de Antioquia para elaborar los estudios previos  para realizar los entrenamientos asi:
Universidad de Antioquia : 259 funcionarios en temas como responsabilidad sanitaria, Toxicologia  y cosméticos
CES: para un total de 150 funcionarios dirigidos a los médicos veterinarios</t>
    </r>
    <r>
      <rPr>
        <b/>
        <sz val="8"/>
        <rFont val="Arial"/>
        <family val="2"/>
      </rPr>
      <t xml:space="preserve">
1.27:</t>
    </r>
    <r>
      <rPr>
        <sz val="8"/>
        <rFont val="Arial"/>
        <family val="2"/>
      </rPr>
      <t xml:space="preserve"> De acuerdo al plan de trabajo se desarrollo durante el tercer trimestre tres registratones en las ciudades de:
* Cali: los días 27 y 28 de agostos de 2018, con una participación de 44 personas
* Pasto: los días 10 y 11 de septiembre, con una participaciónde 26 personas
*Villavicencio: los días 24 y 25 de septiembre , con una participación de 19 personas.</t>
    </r>
    <r>
      <rPr>
        <b/>
        <sz val="8"/>
        <rFont val="Arial"/>
        <family val="2"/>
      </rPr>
      <t xml:space="preserve">
1.28: </t>
    </r>
    <r>
      <rPr>
        <sz val="8"/>
        <rFont val="Arial"/>
        <family val="2"/>
      </rPr>
      <t>Se han llevado a cabo 2 reuniones con la Universidad Nacional con el fin de definir las tematicas a desarrollar del proyecto (15/08/18 y 24/09/18).
2. Se elaboro el estudio previo para contratación, el cual fue enviado a la oficina de Gestión contractual con el tikect No. 261. 
Una vez se firme el contrato con la Universidad Nacional se procede a ajustar las fechas de las actividades programadas dentro de las diferentes fases, mendiante la solicitud de control de cambios a la oficina Asesora de Planeación.</t>
    </r>
  </si>
  <si>
    <r>
      <t>8.1:</t>
    </r>
    <r>
      <rPr>
        <sz val="8"/>
        <rFont val="Arial"/>
        <family val="2"/>
      </rPr>
      <t>El proyecto presenta avance de ejecución de 83%. con realizando: Actividad: Realización de visitas de evaluación y de seguimiento a IPS  de los entes territoriales (25 secretarias), no presentó avance, no hubo renovación del contrato del funcionario encargado de la actividad.
Reunión de socialización de resultados con todos los entes territoriales (Congreso Farmacovigilancia): Se tiene aprobado el presupuesto, el encuentro se realizará en el mes de noviembre. Se revisó las instalaciones para el evento. Ya está incluida la socialización de los resultados en la agenda de visistas de programación de Farmacovigilancia.
Convocatoria y vinculación de un médico y dos químicos farmacéuticos para monitorización y documentación de casos de índices de interés en salud pública relacionada con presuntas fallas de calidad en 2018:  Se realizó la convocatoria y selección del personal (1 médico y un ingeniero químico). Estudios previos en el Grupo de Gestión Contractual.
Convocatoria y vinculación de 1 QF y 1 médico de apoyo para la generación de guía de elaboración de PGR y del procedimiento de seguimiento a PGR, en concordancia con la implementación del decreto 1782 en 2018: Se realizó la convocatoria y selección del personal. Estudios previos en el Grupo de   Gestión Contractual.</t>
    </r>
  </si>
  <si>
    <r>
      <rPr>
        <b/>
        <sz val="8"/>
        <rFont val="Arial"/>
        <family val="2"/>
      </rPr>
      <t xml:space="preserve">11.5: </t>
    </r>
    <r>
      <rPr>
        <sz val="8"/>
        <rFont val="Arial"/>
        <family val="2"/>
      </rPr>
      <t>Terminada la fase de planeación, se dio inicio a la fase de desarrollado, revisión y ajustes, ejecutando: * Se ha incluido al documento información puntual de cada mercado (antecedentes, resultados de auditorias). * Análisis de aprovechamiento de mercados, es decir, de los mercados abiertos a cuales se exporta en la actualidad, así mismo se relaciona las plantas que exportan directamente y por intermediarios. * ENCUESTAS GRUPO DE ADMISIBILIDAD SANITARIA Y ACCESO A MERCADO: a) Para el caso de éxito: http://formularios.invima.gov.co/view.php?id=162489 b) Encuesta para sector público: http://formularios.invima.gov.co/view.php?id=163290 c) Frente a lo hecho: http://formularios.invima.gov.co/view.php?id=106838 d) Temas a futuro: http://formularios.invima.gov.co/view.php?id=112771.</t>
    </r>
    <r>
      <rPr>
        <b/>
        <sz val="8"/>
        <rFont val="Arial"/>
        <family val="2"/>
      </rPr>
      <t xml:space="preserve">
11.6</t>
    </r>
    <r>
      <rPr>
        <sz val="8"/>
        <rFont val="Arial"/>
        <family val="2"/>
      </rPr>
      <t xml:space="preserve">: En la fase de desarrollo, su ejecución al cierre del tercer trimestre es del 44% realizando * En el informe trimestral presentado se ha incluido información  de las importanciones desde Enero 2017 a Junio 2018; siendo Ecuador, Guatemala, Perú, Panamá, El Salvador y Honduras los paises a los que mas se exportan medicamentos, cada uno con el número de exportaciones. * Información actualizada de mecanismos para la agilización y reconocimiento de resgistros y certificaciones, Alianza del pacífico, ISP, ARN´r, Laboratorios exportadores. (principales productos exportados, subpartida arancelaria).
</t>
    </r>
    <r>
      <rPr>
        <b/>
        <sz val="8"/>
        <rFont val="Arial"/>
        <family val="2"/>
      </rPr>
      <t>11.7</t>
    </r>
    <r>
      <rPr>
        <sz val="8"/>
        <rFont val="Arial"/>
        <family val="2"/>
      </rPr>
      <t>:El desarrollo del proyecto ha dado como resultado la instalación de equipos de inspección en 3 plantas de beneficio y el inicio del muestreo para la verificación de cumplimiento de estandares sanitarios requeridos por Estados Unidos para exportación de carne bovina.</t>
    </r>
  </si>
  <si>
    <r>
      <rPr>
        <b/>
        <sz val="8"/>
        <rFont val="Arial"/>
        <family val="2"/>
      </rPr>
      <t xml:space="preserve">13.8: </t>
    </r>
    <r>
      <rPr>
        <sz val="8"/>
        <rFont val="Arial"/>
        <family val="2"/>
      </rPr>
      <t>Se inicio el proceso de digitalización en los GTTS, lo cuales ingresan directamente al utilitario, representando un 90% aproximadamente de la información que recibe la DRS para iniciar los procesos sancionatorios.</t>
    </r>
    <r>
      <rPr>
        <b/>
        <sz val="8"/>
        <rFont val="Arial"/>
        <family val="2"/>
      </rPr>
      <t xml:space="preserve">
13.14:</t>
    </r>
    <r>
      <rPr>
        <sz val="8"/>
        <rFont val="Arial"/>
        <family val="2"/>
      </rPr>
      <t xml:space="preserve"> En el desarrollo del proyecto se autorizan nuevas adiciones presupuestales por parte del gerente del Proyecto que ya se ecuentran incluidas dentro de la nueva hv y cronograma junto con las solicitides de controles de Cambios autorizadas por DG, por lo que se espera recibir a satisfaccion los bienes y servicios contratados a termino del contrato en la vigencia 2018.</t>
    </r>
    <r>
      <rPr>
        <b/>
        <sz val="8"/>
        <rFont val="Arial"/>
        <family val="2"/>
      </rPr>
      <t xml:space="preserve">
</t>
    </r>
    <r>
      <rPr>
        <sz val="8"/>
        <rFont val="Arial"/>
        <family val="2"/>
      </rPr>
      <t xml:space="preserve">
</t>
    </r>
  </si>
  <si>
    <r>
      <rPr>
        <b/>
        <sz val="8"/>
        <rFont val="Arial"/>
        <family val="2"/>
      </rPr>
      <t>14.9</t>
    </r>
    <r>
      <rPr>
        <sz val="8"/>
        <rFont val="Arial"/>
        <family val="2"/>
      </rPr>
      <t xml:space="preserve">: En ejecución convenio suscrito con Innpulsa, mediante el cual el solucionador Heinsohn Bussiness Technology S.A. está trabajando en un software que permitirá a la
industria ingresar solicitudes de trámites y soportes respectivos, así como realizar seguimiento del estado del trámite vía web. Se cuenta con el proceso de atención al ciudadano en la creación de los servicios como registro de empresas y usuarios, gestión de los datos y la modelación en BPMn, y el trámite de evaluación farmacológica en todas la modalidades. Se anexa como evidencia video interno https://youtu.be/GoOopySstzo.
Se desarrollo en la web los trámites, se encuentra en fase de pruebas (cosméticos, alimentos, dispositivos, medicamentos y comisión revisora), se encuentra en pruebas el proceso de atención al ciudadano y registros sanitarios para todos los productos. En la página web se encuentra disponible el registro de empresas, el trámite de evaluación farmacológica y trámite de registros sanitarios, se encuentran en proceso de despliegue y pruebas para cosméticos, alimentos y dispositivos médicos.  
El link para registro de empresas y realizar trámites de registro sanitario se encuentra habilitado en el siguiente enlace  https://aunclic.invima.gov.co.
</t>
    </r>
    <r>
      <rPr>
        <b/>
        <sz val="8"/>
        <rFont val="Arial"/>
        <family val="2"/>
      </rPr>
      <t xml:space="preserve">
14.11</t>
    </r>
    <r>
      <rPr>
        <sz val="8"/>
        <rFont val="Arial"/>
        <family val="2"/>
      </rPr>
      <t xml:space="preserve">: Se realizó la contratación del portal web el 30 de agosto de 2018, el cual mejorara el portal web, la experiencia de usuario en accesibilidad y usabilidad,  con un buscador robusto para consulta de información, con autenticación única del usuario externo e interno para acceder a la información acorde a la necesidad y con un gestor de contenido de fácil administración para crear y publicar contenido institucional, acorde a lineamientos de Gobierno digital, Ley de  Transparencia Ley 1712 de 2014 y necesidades de la entidad, al mes de septiembre se realizar el diseño del portal, estructuras y temas (header and footer). 
</t>
    </r>
    <r>
      <rPr>
        <b/>
        <sz val="8"/>
        <rFont val="Arial"/>
        <family val="2"/>
      </rPr>
      <t>14.12</t>
    </r>
    <r>
      <rPr>
        <sz val="8"/>
        <rFont val="Arial"/>
        <family val="2"/>
      </rPr>
      <t xml:space="preserve">: Proyecto suspendido
</t>
    </r>
    <r>
      <rPr>
        <b/>
        <sz val="8"/>
        <rFont val="Arial"/>
        <family val="2"/>
      </rPr>
      <t>14.13</t>
    </r>
    <r>
      <rPr>
        <sz val="8"/>
        <rFont val="Arial"/>
        <family val="2"/>
      </rPr>
      <t xml:space="preserve">: Se ha llevado la gestión de la asignación de presupuesto para fortalecer la infraestructura tecnológica del Instituto, a la fecha se ha adquirido el licenciamiento y renovación así como la adquisición de tecnologías necesarias para la operación del Invima, se avanzo en el 5% de las compras, por ello se debe realizar control de cambios a las actividades revisadas en la turaría. 
Adquisición de impresoras por valor de $98,000,000 con la empresa Uniples. 
</t>
    </r>
    <r>
      <rPr>
        <b/>
        <sz val="8"/>
        <rFont val="Arial"/>
        <family val="2"/>
      </rPr>
      <t>14.15:</t>
    </r>
    <r>
      <rPr>
        <sz val="8"/>
        <rFont val="Arial"/>
        <family val="2"/>
      </rPr>
      <t xml:space="preserve"> El proyecto se encuentra en la fase de ejecución con el avance de : Inventario de Sistemas a Integrar y Detalle de Servicios para el bus de servicios 100%
Se realizó el levantamiento de información de acuerdo a los sistemas de información a migrar a la nueva arquitectura orientada a microservicios. Definición, implementación y configuración de la plataforma como servicio con arquitectura de contenedores y servidor de aplicaciones Jboss EAP 100%. Se realizó contratación (294 - 2018-ccvs 294 - 2018) para la suscripción para el licenciamiento del sistema de computación en la nube, bus de servicios y servidor de aplicaciones de REDHAT para la implementación de la plataforma de interoperabilidad del INVIMA-ENTELGY COLOMBIA S.A.S, se encuentra en proceso de implantación de la plataforma en los servidores del instituto.
Se implanto la plataforma OPEN SHIFT en los servidores institucionales y se configuro al ambiente de desarrollo de pruebas y producción.  Desarrollo e implementación, por parte del Invima, de los servicios web: Se realizó análisis de impacto en los modelos de datos a migrar y en la aplicación y procedimientos almacenados impactados. Se migro al nuevo esquema la estructura y datos, los procedimientos almacenados y se encuentra en pruebas para iniciar el desarrollo de los microservicios de sincronización entre la base de datos de los maestros y la base de datos migrada.  Realización de pruebas y ajustes: Se da inicio a las pruebas de los objetos migrados en la base de datos.
</t>
    </r>
    <r>
      <rPr>
        <b/>
        <sz val="8"/>
        <rFont val="Arial"/>
        <family val="2"/>
      </rPr>
      <t>14.16:</t>
    </r>
    <r>
      <rPr>
        <sz val="8"/>
        <rFont val="Arial"/>
        <family val="2"/>
      </rPr>
      <t xml:space="preserve"> Este proyecto cuenta con un avance del 89% el cual tiene como objeto de procesar los datos de las actas desde el año 1996 a 2017 y cargarlos a una base de datos estructurada, que permita la consulta de la información histórica, por ser parte de los antecedentes sanitarios para continuar algunos procesos como la solicitud de trámites de registros sanitarios de medicamentos y otros trámites asociados. a la fecha se encuentra procesado 1.100 actas y en la base de datos se han cargado 900 actas.
</t>
    </r>
    <r>
      <rPr>
        <b/>
        <sz val="8"/>
        <rFont val="Arial"/>
        <family val="2"/>
      </rPr>
      <t xml:space="preserve">14.17: </t>
    </r>
    <r>
      <rPr>
        <sz val="8"/>
        <rFont val="Arial"/>
        <family val="2"/>
      </rPr>
      <t xml:space="preserve">El proyecto se encuentra desarrollando la fase de jecución avanzando en: Levantamiento de información:  Se realizaron las acciones relacionadas al levantamiento de información de los 7 laboratorios en los procesos transversales (módulos administrativos y recursos). Se da inicio al levantamiento particular de ensayos analíticos (módulos LIMS) de cada laboratorio. Se continua con el levantamiento de información para los 13 módulos restantes para laboratorios en general. En el desarrollo de las pruebas se detectaron funcionalidades que no se habían documentado o que estaba incompleto al sistema de información, por lo que se reinicio la etapa a partir del mes de Julio de 2018, por lo anterior el porcentaje dado como 100% en la tutoría II, se disminuirá el porcentaje al 70% debido a que a la fecha se encuentran documentando la información. Las evidencias se encuentran en las 150 actas levantadas en cada reunión desarrollada.  Implementación: Se implementaron los módulos administrativos y recursos de manera transversal. Se encuentra en proceso la implementación de LIMS para todos los laboratorios, se ha avanzado en los módulos de lanzador, notificaciones, impresor de etiquetas e instrumental y se están desarrollando las integraciones con los sistema d e información del Invima.  Se encuentra en finalización de implementación del laboratorio de OGM, productos biológicos, dispositivos médicos, para dar paso a producción. 
Pruebas: Se han realizado las pruebas con usuarios de los módulos administrativos y recursos para los 7 laboratorios. se encuentra en pruebas del módulo de LIMS par alos laboratorios lanzador, notificaciones e impresor de etiquetas.
</t>
    </r>
    <r>
      <rPr>
        <b/>
        <sz val="8"/>
        <rFont val="Arial"/>
        <family val="2"/>
      </rPr>
      <t>14.18</t>
    </r>
    <r>
      <rPr>
        <sz val="8"/>
        <rFont val="Arial"/>
        <family val="2"/>
      </rPr>
      <t xml:space="preserve">: Se dá inicio a la fase de ejecución conel despliegue de la solución sobre la infraestructura tecnológica definida: Se configuro y parametrizo el servidor bajo los requisitos enviados por el contratista y se realizó la reunión de verificación el día 26 de septiembre donde se acordó realizar algunos ajustes de las dos partes y  así finalizar la entrega del servidor, una vez cumplidas estas se instala la solución.  
</t>
    </r>
    <r>
      <rPr>
        <b/>
        <sz val="8"/>
        <rFont val="Arial"/>
        <family val="2"/>
      </rPr>
      <t>14.19:</t>
    </r>
    <r>
      <rPr>
        <sz val="8"/>
        <rFont val="Arial"/>
        <family val="2"/>
      </rPr>
      <t xml:space="preserve"> En el desarrollo de la fase 1, se estudio de la Factibilidad del Proyecto así:
Reunión previas con las empresas con experiencia en implementación de sistemas de correspondencia y PQRD
Presentación de cotizaciones. Se realizaron estudios de mercado y estudios previos, aprobados por la OTI y se entregan a procesos de contratación. 
</t>
    </r>
    <r>
      <rPr>
        <b/>
        <sz val="8"/>
        <rFont val="Arial"/>
        <family val="2"/>
      </rPr>
      <t>14.20:</t>
    </r>
    <r>
      <rPr>
        <sz val="8"/>
        <rFont val="Arial"/>
        <family val="2"/>
      </rPr>
      <t xml:space="preserve"> Se encuentra en desarrollo de la fase de ejecución con: Diseño de las estructuras de la vista de la solución para la ejecución de la visita 50%
Implementación de la solución  20%
Elaboración del Set de pruebas 50%
Verificación del Set de pruebas 50%
</t>
    </r>
    <r>
      <rPr>
        <b/>
        <sz val="8"/>
        <rFont val="Arial"/>
        <family val="2"/>
      </rPr>
      <t xml:space="preserve">14.21: </t>
    </r>
    <r>
      <rPr>
        <sz val="8"/>
        <rFont val="Arial"/>
        <family val="2"/>
      </rPr>
      <t xml:space="preserve">Está en desarrollo de:Levantamiento de la información: Se ha realizado el levantamiento de la información de parametrización del sistema 100%, captura de información de trámites en línea 100% y generación de CIS al  para la Dirección de Alimentos y bebidas, esta pendiente de realizar el levantamiento para las direcciones de dispositivos médicos, medicamentos y cosméticos de l procedimiento para inspección en PAPF. Es de aclarar que no se contó con el recurso de analista funcional en los meses de agosto y septiembre para el levantamiento de la información de los módulos para las demás misionales.  Se encuentra en proceso de contratación del profesional., Modelamiento del proceso: se ha realizado el análisis y diseño de pantallas propuestas y análisis de datos de la parametrización del sistema y trámites en línea y generación del Certificados de Inspección sanitaria (CIS). se ha presentado a los usuarios finales el avance de levantamiento de información y entendimiento del negocio y las propuestas de las pantallas. De igual forma se ha estructurado el modelo de datos relacionado con la funcionalidad del sistema. Diseño de la Arquitectura de Información: Se ha realizado levantamiento de información del estado del arte del sistema y se genero documentos y presentación con la propuesta conceptual del sistema; El documento de arquitectura contiene a la fecha (septiembre) mapeo de funcionalidades Vs Microservicios a desarrollar y avance de la estrategia de desarrollo con la definición de los procesos de backend y frontend que contemplará el nuevo sistema Sivicos con cargas de trabajo para los desarrolladores; debido a la importancia y requerimientos de la Unidad de Riesgos de incluir los riesgos a nivel de puertos dentro de la nueva arquitectura planteada para el desarrollo de sivicos 2, se encuentra en ajuste este documento de arquitectura con avance del 85%. Construcción de la solución utilizando metodologías de servicios web (Microservicios): A la fecha no ha surtido el proceso de contratación de Alianza Global, sin embargo se ha realizado la entrega de perfiles de desarrolladores, plan de trabajo y entregables, resultado de la convocatoria realizada para la contratación, hojas de vida de las personas seleccionadas con las pruebas realizadas para la escogencia, el cual se llevo a cabo en el mes de agosto, por estas actividades se incluye un porcentaje de avance de 25%, por las gestiones realizadas par ala contratación de los ingenieros. 
</t>
    </r>
    <r>
      <rPr>
        <b/>
        <sz val="8"/>
        <rFont val="Arial"/>
        <family val="2"/>
      </rPr>
      <t>14.22</t>
    </r>
    <r>
      <rPr>
        <sz val="8"/>
        <rFont val="Arial"/>
        <family val="2"/>
      </rPr>
      <t xml:space="preserve">: Para el proyecto se busca una solución informática de registro sanitario actualizada que permita realizar la trazabilidad y seguimiento de los procesos en las dependencias que se encuentre,  se ha realizado  de levantamiento de información e historias de usuarios, se ha realizado el diseño de las pantallas para el BPM y validación de los campos para configuración posterior en la plataforma. De igual forma se ha levantado la información de la trazabilidad del proceso y se realizaron los desarrollo necesarios para determinar el estado de un proceso en un momento determinado, a la fecha se encuentra en pruebas de funcionalidad, el avance del proyecto es del 78%.  
</t>
    </r>
    <r>
      <rPr>
        <b/>
        <sz val="8"/>
        <rFont val="Arial"/>
        <family val="2"/>
      </rPr>
      <t>14.23</t>
    </r>
    <r>
      <rPr>
        <sz val="8"/>
        <rFont val="Arial"/>
        <family val="2"/>
      </rPr>
      <t xml:space="preserve">: En la fase 2 se ha realizado la construcción de las historias de usuario por cada uno de los requerimientos establecidos por los interesados del proyectos 
</t>
    </r>
    <r>
      <rPr>
        <b/>
        <sz val="8"/>
        <rFont val="Arial"/>
        <family val="2"/>
      </rPr>
      <t>14.24</t>
    </r>
    <r>
      <rPr>
        <sz val="8"/>
        <rFont val="Arial"/>
        <family val="2"/>
      </rPr>
      <t xml:space="preserve">: Objeto del proyecto: Automatizar los trámites, procesos y servicios del Invima para construir una entidad más eficiente y transparente para lo cual a la fecha se ha avanzado en un 2% en el proyecto. </t>
    </r>
  </si>
  <si>
    <r>
      <rPr>
        <b/>
        <sz val="8"/>
        <rFont val="Arial"/>
        <family val="2"/>
      </rPr>
      <t>15.5:</t>
    </r>
    <r>
      <rPr>
        <sz val="8"/>
        <rFont val="Arial"/>
        <family val="2"/>
      </rPr>
      <t xml:space="preserve"> Este proyeto tiene como objeto modelar e Implementar las buenas prácticas de ITIL, y el marco de referencia de Arquitectura Empresarial para la Gestión de TI asociados con la prestación de servicios de TI que permita establecer un modelo de gestión que soporte la definición, manejo y mantenimiento de los dichos servicios en el Invima, la gestión realizada se caracteriza por la contratación del proveedor para la consultoria para la implementación de estas prácticas, se realizó levantamiento y analisis de la información asociada a los procesos de mesa de ayuda, analisis de los procesos del sistema de gestión de calidad de Oti y entrevistas con los usuarios, contextualización de las definiciones de ITIL  a OTI. Se han realizado dos talleres: Gestión de catalogo de servicios y gestión de la estrategia de TI. 
</t>
    </r>
    <r>
      <rPr>
        <b/>
        <sz val="8"/>
        <rFont val="Arial"/>
        <family val="2"/>
      </rPr>
      <t>15.7</t>
    </r>
    <r>
      <rPr>
        <sz val="8"/>
        <rFont val="Arial"/>
        <family val="2"/>
      </rPr>
      <t xml:space="preserve">: Para este proyecto de Diseño e implementación del modelo de Interoperabilidad (proyecto a nivel de la infraestructura tecnológica) el cual facilitará el intercambio de información con otras entidades (como el MSPS o la Unión Europea – Traces, por ejemplo). a la fecha se encuentra en proceso de definición, documentación e implementación del mismo. </t>
    </r>
  </si>
  <si>
    <t>ELIMINADO</t>
  </si>
  <si>
    <t>6.6 Verificación del contenido de yodo y flúor en sal para consumo humano_2018</t>
  </si>
  <si>
    <t>6.7 Verificación del contenido de nutrientes en productos del programa de alimentación escolar PAE 2018</t>
  </si>
  <si>
    <t>Verificar la concentracion de Yodo y Fluor en la sal para consumo humano que se comercializan en los establecimientos seleccionados en el territorio nacional.</t>
  </si>
  <si>
    <t>Verificar el contenido de nutrientes de los productos alimenticios del Programa de Alimentación Escolar - PAE</t>
  </si>
  <si>
    <r>
      <t xml:space="preserve">9.9: </t>
    </r>
    <r>
      <rPr>
        <sz val="8"/>
        <rFont val="Arial"/>
        <family val="2"/>
      </rPr>
      <t>*Sa analizaron 383 muestras de medicamentos de las 383  muestras vigentes  tomadas: 355 con resultado conforme es decir el 92,7% y 28 con resultado No conforme 7,3%. 
*Toma de muestras de retención de medicamentos: Se ha programado la toma de las 28 muestras con resultado No Conforme de las cuales se han tomado 23. 
* De 72 muestras tomadas de Suplementos dietarios se ha realizado el análisis del 100% de las muestras, 67 con resultado conforme es decir el 93,1%, y 5 con resultado No Conforme, 6,9%</t>
    </r>
    <r>
      <rPr>
        <b/>
        <sz val="8"/>
        <rFont val="Arial"/>
        <family val="2"/>
      </rPr>
      <t xml:space="preserve">
9.10: </t>
    </r>
    <r>
      <rPr>
        <sz val="8"/>
        <rFont val="Arial"/>
        <family val="2"/>
      </rPr>
      <t>-Dispositivos, muestras  e informes vigencia  2018: 
       DISPOSITIVOS      MUESTRAS PROYECT.       MUESTRAS TOMADAS             INFORMES
* Cateteres                                         10                                                        10                                                    10
* Suturas:                                             20                                                      20                                                   20    
* Guantes:                                            16                                                       16                                                    16
* Jeringas:                                            17                                                       17                                                    17
* Sondas:                                              6                                                        6                                                       6
* Eq. Macrogoteo:                            10                                                      10                                                     10
* Preservativos:                                 15                                                     15                                                      15
Cumplimiento de Indicadores
                 INDICADORES                                                                                                 FÓRMULA                                                                                               RESULTADO DEL INDICADOR AL FINALIZAR EL PROYECTO                                             
1- Gestión de analisis de muestras                                     -No. informes de resultados generados / No. muestras programadas                                                                        100%
*Cumplimiento 100% :  De noventa y cuatro (94)  muestras programadas se obtuvieron  noventa y cuatro (94) informes
2- Productos no conformes                                                  -No. de muestras no conformes / No. de muestras analizadas                                                                             Menor de 20%
*Cumplimiento 100%:   De noventa y cuatro (94) muestras analizadas se obtuvo ocho (8) No Conforme, es decir el 8,5%
3- Acciones de IVC emprendidas                                        -No. acciones IVC emprendidas / No. muestras no conformes                                                                                      100%
*Cumplimiento 100%:  De noventa y cuatro (94)  informes, ocho (8) se reportaron con resultado No Conforme, de los cuales  cinco ( 5):  -Guantes: (3), -Jeringas: 1 y -Preservativos (1), fueron sujetas de medida  sanitaria y  tres (3): -Jeringas:2, -Preservativos:1,  se solicitó plan de acción al proveedor para ajustar los parámetros no conformes.</t>
    </r>
    <r>
      <rPr>
        <b/>
        <sz val="8"/>
        <rFont val="Arial"/>
        <family val="2"/>
      </rPr>
      <t xml:space="preserve">
9.11: </t>
    </r>
    <r>
      <rPr>
        <sz val="8"/>
        <rFont val="Arial"/>
        <family val="2"/>
      </rPr>
      <t>De (430)  muestras planeadas para toma, se han tomado  (396) y se ha hecho el análisis de control de calidad de medicamentos muestras comerciales de sesenta y dos (62) .
*De las trescientas noventa y seis  (396)  muestras se ha realizado setenta y cinco (75) oficios para reposición de muestras de medicamentos tomadas.
*Se realizó convocatoria, revisión y elaboración de estudios previos para contratación de laboratorio tercerizado de análisis de calidad, pero se declaró desierto  por lo tanto se desistió de la contratación.</t>
    </r>
    <r>
      <rPr>
        <b/>
        <sz val="8"/>
        <rFont val="Arial"/>
        <family val="2"/>
      </rPr>
      <t xml:space="preserve">
9.12: </t>
    </r>
    <r>
      <rPr>
        <sz val="8"/>
        <rFont val="Arial"/>
        <family val="2"/>
      </rPr>
      <t>Se tomó muestras en la ciudad de  *Bogota,  y por parte de los GTTs se tomó muestras en las ciudades de : *Villavicencio, *Medellín * Cali .
A la fecha se ha realizado por parte del Laboratorio el análisis de las siguientes muestras:  
*Tratamientos capilares: veinte (20) muestras
*Polvos compactos:          tres   (3) muestras
*Jabones y detergentes líquidos: veinticuatro (24) muestras
*Jabones cosméticos: catorce (14) muestras.
Se hizo reposición de muestras en la ciudades de Riohacha, Cartagena, Monteria, Barranca, Ibagué, Florencia, Armenia, Bogotá, y en Cali, Medellín, Villavicencio, ciudades que fueron muestreadas por los GTTs.</t>
    </r>
    <r>
      <rPr>
        <b/>
        <sz val="8"/>
        <rFont val="Arial"/>
        <family val="2"/>
      </rPr>
      <t xml:space="preserve">
</t>
    </r>
  </si>
  <si>
    <r>
      <t xml:space="preserve">16.7: </t>
    </r>
    <r>
      <rPr>
        <sz val="8"/>
        <rFont val="Arial"/>
        <family val="2"/>
      </rPr>
      <t xml:space="preserve"> Se da cierre al proyecto con una ejecución en sus actividades de 100%, dando así cumplimiento al Objetivo General el cual era Implementar un programa de formación y capacitación a servidores públicos vinculados al INVIMA mediante la actualización permanente del conocimiento buscando el mejoramiento continuo y el servicio.
Se evidencia Informe anual convenio INVIMA- ICETEX que contiene adiciones hechas al convenio, solicitudes aprobadas por funcionario para cada año y valor de crédios condonados.
*Cumplimiento del Indicador: 100%
 No. de Solicitudes Presentadas/:  17
 No. de Solicitudes Aprobadas     :  17
</t>
    </r>
  </si>
  <si>
    <r>
      <t xml:space="preserve">
</t>
    </r>
    <r>
      <rPr>
        <b/>
        <sz val="8"/>
        <rFont val="Arial"/>
        <family val="2"/>
      </rPr>
      <t>13.8</t>
    </r>
    <r>
      <rPr>
        <sz val="8"/>
        <rFont val="Arial"/>
        <family val="2"/>
      </rPr>
      <t>: Se realizó entrenamiento para la consulta de documentos en el aplicativo sesuit a los profesionales de la Dirección de Responsabilidad Sanitaria. Al igual, se realizó digitalizacion y cargue de documentos por etapa procesal en el aplicativo de 764 procesos, de los cuales se econtraban  priorizados de la vigencia 2017 y de 2018 procesos nuevos.</t>
    </r>
    <r>
      <rPr>
        <b/>
        <sz val="8"/>
        <rFont val="Arial"/>
        <family val="2"/>
      </rPr>
      <t xml:space="preserve">
13.10</t>
    </r>
    <r>
      <rPr>
        <sz val="8"/>
        <rFont val="Arial"/>
        <family val="2"/>
      </rPr>
      <t>: Se actualizó el  normograma incluyendo 4 normas que tienen incidencia en el Invima: Boletin del 1 al 30 de Enero, Boletin del 1 al 28 de Febrero, Boletin del 1 al 31 de Marzo  y Boletin del 1 al 30 de Abril</t>
    </r>
    <r>
      <rPr>
        <b/>
        <sz val="8"/>
        <rFont val="Arial"/>
        <family val="2"/>
      </rPr>
      <t xml:space="preserve">
13.12</t>
    </r>
    <r>
      <rPr>
        <sz val="8"/>
        <rFont val="Arial"/>
        <family val="2"/>
      </rPr>
      <t>: Se dió cumplimiento a la fase de  Estudio de mercado, verificando  los documentos de los inmuebles escogidos como posibles candidatos para la adquisicion de la sede del archivo del Instituto, asi como el formato y/o carta de autorizacion del Avaluo comercial por parte del vendedor. Asi mismo en la fase de avalúo, se entregó el documento al IGAC para inciar el avaluo del inmueble, se seleccionó un predio ubicado en la zona de Fontibon que cumple con las especificaciones tecnicas requeridas para la adecuacion del archivo.</t>
    </r>
    <r>
      <rPr>
        <b/>
        <sz val="8"/>
        <rFont val="Arial"/>
        <family val="2"/>
      </rPr>
      <t xml:space="preserve">
13.13</t>
    </r>
    <r>
      <rPr>
        <sz val="8"/>
        <rFont val="Arial"/>
        <family val="2"/>
      </rPr>
      <t>: Un vez revisado el cronograma del proyecto se propone ajustar las fases y las actividades teniendo en cuenta: La fase de Diseños contempla  recursos por valor de 100,000,000, sin embargo por recomendacion del DNP dada en la vigencia 2017 en el que nos indicaba que el proyecto de "Adquisición, Remodelación Y Dotación Infraestructura Física del INVIMA a Nivel Nacional", no podia incluir los diseños para la construccion de los laboratorios, por esa recomendacion no se han contratado diseños a cargo de este proyecto que es el que respalda los recursos para la contratacion de los diseños necesarios para las escaleras de evacuación, por lo que desde la oficina asesora de planeacion se procedio a reformular el proyecto de inversion para contemplar las actividades que puedan cubrir el objeto contractual "diseños", y se espera que  se encuentre viabilizado a mas tardar el 01 de junio de 2018 lo cual implica que las fechas incialmente contempladas se extiendan hasta la vigencia 2019, por lo que en la vigencia 2018 solo se podra ejecutar el contrato para el diseño de las escaleras de evacuación una vez se cuente con los recursos en el nuevo proyecto de invesrion  o en su defecto tambien por peticion de la oficina asesora  de planeacion se reciban lineamientos por parte del DNP en el sentido de incluir en el proyecto actual la actividad de diseños que permitan dar continuidad al cronograma previsto inicialmente. Las demas actividades se ponen a consideracion del Gerente del proyecto para que se ejecuten en la  vigencia 2019 con recursos de esa vigencia  tal como se evidencia en la hoja de vida y cronograma del proyecto.</t>
    </r>
    <r>
      <rPr>
        <b/>
        <sz val="8"/>
        <rFont val="Arial"/>
        <family val="2"/>
      </rPr>
      <t xml:space="preserve">
13.14</t>
    </r>
    <r>
      <rPr>
        <sz val="8"/>
        <rFont val="Arial"/>
        <family val="2"/>
      </rPr>
      <t>: Luego de realizada la tutoria se expresan nuevas necesidades de adecuacion y dotacion lo que hace necesaria la redistribucion de actividades del proyecto  según lo expuesto por los ejecutores del proyecto, para lo cual se propone realizar las siguientes actividades toda vez que la nueva distribucion genera que el proyecto se extienda hasta la vigencia 2019: 1.Adecuar, remodelar, dotar de acuerdo a las necesidades la estructura física de los laboratorios y sedes administrativas del Invima para lo cual se  destinan 350 millones que va desde la fase I que comienza el 01/03/2018 hasta la fase de cierre que termina 30/12/2018. 2. Dotar de mobiliario las sedes administrativas y Laboratorios del Instituto  para lo cual se destinan 100 millones, va desde la fase I que comienza el 30/04/2018 hasta la fase de cierre que termina el 30/12/2018. 3. Renovación de la garantia y soporte del sistema de control de acceso del bytte access propiedad del  invima. $95.549.080 este contrato ya esta ejecutado
4. Adquisición, instalación, puesta en funcionamiento del cableado estructurado para los nuevos puestos de trabajo de las sedes del invima, se apropian 75 millones va desde la fase I que comienza el 01/03/2018 hasta la fase de cierre que termina 30/12/2018.
5. Adquisicion e instalacion de plataforma salva-escaleras para la sede Administrativa del Invima, de la ciudad de Bogota, ubicada en la carrera 10 # 64-60, por valor $38.861.301  va desde la fase I que comienza el 30/04/2018 has la fase de cierre que termina el 31/10/2018.
las siguientes actividades se plantean como alternativa adicional si se decide que se deben adecuar los  laboratorios de microbiologia de productos farmaceuticos y otras tecnologias
6. Adecuar, remodelar, dotar de acuerdo a las necesidades la estructura física de los laboratorios de microbiologia de productos farmaceuticos y otras tecnologias, valor total contrato 1000 millones aprox. contrato 2018 del 10/10/2018 al 31/12/2018 por valor 650 millones con recursos de esta vigencia  y  con VF del 01/01/2019 al 29/03/2019 por valor 350 millones. 7. Adquisición, instalación, puesta en funcionamiento del cableado estructurado para los  laboratorios de microbiologia de productos farmaceuticos y otras tecnologias.valor total contrato 200 millones aprox. contrato 2018 del 10/10/2018 al 31/12/2018 por valor 150 millones con recursos de la actual vigencia y  con VF del 01/01/2019 al 29/03/2019 por valor  50 millones.
Nota:De acuerdo a lo anterior este proyecto institucional denominado Remodelacion y Dotacion Infraestructura fisica INVIMA a nivel nacional se ejecutará a partir  del 03/01/2018 hasta el 29/03/2019 programando recursos del 2018 por valor $1.459.410.381 y recursos del 2019 apalancado con Vigencias futuras por valor  400,000,000 para un total del proyecto en todo el Horizonte de $1.859.410.381.</t>
    </r>
    <r>
      <rPr>
        <b/>
        <sz val="8"/>
        <rFont val="Arial"/>
        <family val="2"/>
      </rPr>
      <t xml:space="preserve">
13.15</t>
    </r>
    <r>
      <rPr>
        <sz val="8"/>
        <rFont val="Arial"/>
        <family val="2"/>
      </rPr>
      <t>: Una vez termine el I  semestre de 2018  se definirá  si el proyecto continua en la vigencia 2018 o se aplaza para continuar en las siguientes vigencias, toda vez que las nuevas necesidades definidas por lo la direccion General y por la reformulacion del proyecto de Inversion que apalanca los recursos destinados para la ejecucion de este proyecto definan las nuevas prioridades.</t>
    </r>
  </si>
  <si>
    <t>7.4 Vigilancia de residuos de plaguicidas y metales pesados en productos hortofrutícolas. 2016
Para Arroz, ya se encuentran ejecutadas las fases de planeación y cierre, en la fase de ejecución. En la fase de ejecución la toma de muestras de arroz importado fue de 17 muestras de 41 programadas, para arroz nacional se tomo el 100% de las muestras programadas (159) , es decir que para arroz tanto nacional como importado se tomo un total de 176 muestras de 200 programadas para un avance del 88%. En cuanto a los análisis de laboratorio se han recibido 124 de 159 análisis de arroz importado para un avance total del 78% y para arroz nacional 15 resultados de 17 solicitudes para un avance total del 88%..Respecto a la revisión de resultados de acuerdo a la normatividad vigente se identificarón para arroz nacional 11 resultados no conformes para cadmio y 2 no conformes para plomo. Para Cadmio Cacao:El informe final se ajusto se encuentra en trámite para nuevo envio.Las fases de planeación y ejecución ya se completaron.
75: El proyecto 7.5. Vigilancia de residuos de medicamentos veterinarios, plaguicidas y contaminantes químicos en productos de origen animal.
Para Lecha cruda:se han identificado 12 resultados rechazados por presencia de Ivermectina, información que ha sido remitida al ICA entidad que efectuará la toma de medidas en cuanto a producción primaria en los departamentos en donde se encontrarón los resultados rechazados. para Bovinos:Durante el desarrollo del proyecto se han identificado 23 resultados no conformes por presencia de sustancias anabólicas frente a lo cual se ha remitido la información al ICA para la toma de medidas de intervención así como la notificación de la información a los plantas de beneficio y a los inspectores para que realicen el seguimiento y nuevamente toma de muestras a los animales provenientes de las fincas con resultados no conformes. Porcinos:se han identificado 15 resultados de laboratorio no conformes por presencia de anábolicos y antimicrobianos por lo que se remite la información al ICA a la dirección de inocuidad e insumos pecuarios para la respectiva la aplicación de las medidas de control respectivas. Aves:se  identificaron 6 resultados de laboratorio no conformes por presencia de anticoxidiales (medicamentos usados para el tratamiento de las coxidias - parasitos en aves).
7.9 Vigilancia de migración de sustancias químicas de envases que  entran en contacto con alimentos y bebidas.: El informe final se ajusto se encuentra en trámite para nuevo envio.Las fases de planeación y ejecución ya se completaron. En Comité tripartita fué aprobado un control de cambio que se reflejan en el cronograma.El proyecto avanza dentro de los tiempos establecidos.
7.14: 7.14 Pesca 2017
Acuicultura El proyecto finalizó dentro del tiempo establecido en el cronograma del trabajo y logro la aprobación de la Unión Europea en cuanto a la vigilancia de niveles de mercurio total en productos de la pesca. Mercurio Atún en conserva, el proyecto avanza dentro de los tiempos contemplados en el cronograma de trabajo, en la ejecución del proyecto se ha identificado 1 resultado rechazado para un total de 6 resultados rechazados, sin embargo dicho resultado es de los lotes de atún producidos antes de la inspección permanente que surgio como medidad de intervención, la información al respecto fue remitida con la propuesta de intervención al grupo de vigilancia epidemiologica.
7.15: 7.15 Origen Vegetal 2017:
Productos Hortofrutícolas, durante el desarrollo del proyecto se han podido identificar 10 análisis de laboratorio que presentan excedencias de plaguicidas y 17 análisis de laboratorio no conformes por presencia de metales pesados: 16 excendencias en cadmio y excendencia en plomo por lo que dicha información ha sido remitida al ICA para la aplicación de medidas pertienentes. Micotoxinas: Durante la ejecución del proyecto se han obtenido resultados orientados a la articulación y mejoramiento del las condiciones sanitarias mediante el desarrollo de la segunda mesa fitosanitaria de maíz realizada en el departamento de Córdoba por Invima, ICA, Fenalce y Ministerio de Agricultura para continuar estableciendo las medidas de prevención y control en la cadena del máiz . Se ha remitido información al Ministerio de Salud y Protección Social sobre el avance de estas mesas con el fin de lograr la participación del mismo como ente rector en las demás sesiones de trabajo. 7.15.3 Hortofruticola Arroz: el proyecto avanza dentro de los tiempos contemplados sin embargo es fundamental acoger las recomendaciones realizadas.  El resultado obtenido es la identificación de 7 resultados rechazados en muestras de arroz nacional en molinos y se convoca a reunión interna con la Direccción de Alimentos para analizar las medidas de intervención frente a dichos resultados que para este caso consiste en la medida sanitaria de congelamiento. OGM eventos no aprobados: A la fecha se han tomado 89 muestras de las 200 muestras totales programadas para el proyecto con un avance así del 44% , se han recibido 89 resultados de laboratorio que corresponden al  100% del total de muestras remitidas.El proyecto avanza dentro de los tiempos establecidos en el cronograma de trabajo.Informe técnico elaborado y enviado a la Unidad de Riesgos el lunes 30 de Abril y la fecha de entrega por parte de la Unidad de Riesgos será el 30 de Mayo. Alimentos libres OGM Rotulado El desarrollo del proyecto ha generado la identificación de 14 resultados no conformes en el total del plan 5 de estos se presentarón en el último trimestre de la vigencia 2017 en productos como barras de frutas y semillas, hamburguesas de quinoua, maletadas y pan, esta información ha sido remitida para aplicación de las medidas sanitarias de intervención y se está a la espera de las mismas. 7.15.6 OGM control de alimentos de origen orgánico: Durante el desarrollo del proyecto se identificarón 5 resultados no conformes en el útimo trimestre de la vigencia 2017 en productos como: cereales, quinuoa y leche en polvo de soja. esta información ha sido remitida para aplicación de las medidas sanitarias de intervención y se está a la espera de las mismas.
7.16 Origen animal 2017
Para Bovinos, A la fecha se ha realizado la toma de 1568 muestras que corresponde al 64% del total programado en el plan y se ha recibido un total de 1391 resultados de laboratorio, todos conformes.  para Porcinos se han tomado 1120 muestras que corresponden al 69% del total de muestras programadas, el total de los análisis por laboratorio ha sido Laboratorio Invima 215 y Laboratorio Tercerizados 1398, se se han identificado 160 resultados postivos los cuales deben ser ajustarse a un factor que indica el laboratorio internacional y sobre el cual se determinará si son resultados rechazados o no. Para el tratamiento de muestras rechazadas se han hecho reuniones con el grupo técnico de carnes y el ICA para determinar las acciones de intervención y se remite los resultados por medio de notificación mediante un oficio al ICA entidad encargada de ejecutar dichas acciones de intervención. para Aves, se han tomado 320 muestras para un avance del 56% sobre el total de muestras programadas para el plan.  El analisis de muestras ha sido Laboratorio Invima 29 análisis remitidos de 39 solicitados para un cumplimiento en la entrega de resultados del 74% y Laboratorios tercerizados 211 análisis remitidos de 332 solicitados para un cumplimiento en la entrega de resultados del 63%. Huevo, Durante el desarrollo del proyecto se han identificado 13 resultados no conformes por presencia de antibioticos no registrados para uso en ponedoras no comerciales, información que ha sido remitida al ICA quien realiza las visitas de IVC en las granjas adicionalmente se ha notificado a las empresas que comercializan el producto. En el marco del proyecto se han realizado reuniones con Fenavi para socialización de los resultados y basados en estos se presenta en conjunto con el ICA las actividades relacionadas con la aplicación de la resolución 5296 de 2013 que hace referencia a la lista de establecimientos o predios con hallazgos en los límites máximos de residuos.. Leche creuda, se han tomado 200 muestras para un avance del 57% sobre el total programado en el plan y se han recibido 175 resultados de laboratorio . Pollo importado, se ha tomado la totalidad de las muestras del plan que corresponden a 50 muestras las cuales fueron ajustadas y aprobado dicho cambio en la reunión de Comité tripartita del 20 de Marzo por lo que el avance es del 100%. Se ha analizado las 50 muestras remitidas al laboratorio y durante la revisión de acuerdo a la normatividad vigente no se han identificado resultados rechazados.
7.17 Acuicultura_2018: Lineamientos técnicos elaborados y revisados con la Dirección de Operaciones Sanitarias y en proceso de ajustes toda vez que no se han suscrito los contratos de  análisis de muestras y transporte que tienen información que debe ser incluida dentro de los lineamientos.
7.18 Origen_Vegetal_2018: Se ha realizado las reuniones de concertación para número de muestras con la Dirección de Operaciones Sanitarias y la Oficina de Laboratorios y Control de Calidad así como la priorización y concertación de los planes de muestreo. El documento técnico ha sido elaborado y revisado por la Unidad de Riesgos y ajustado de acuerdo a las observaciones recibidas. Estudios previos elaborados y remitidos al Grupo de Gestión Contractual. Se encuentra en proceso la  contratación del servicio de transporte, análisis de muestras y la compra de insumos . Lineamientos técnicos elaborados y revisados con la Dirección de Operaciones Sanitarias y en proceso de ajustes toda vez que no se tienen suscritos los contratos de  análisis de muestras y transporte que tienen información que debe ser incluida dentro de los lineamientos.
7.19 Origen Animal 2018: Se ha realizado las reuniones de concertación para número de muestras con la Dirección de Operaciones Sanitarias, el ICA y la Oficina de Laboratorios y Control de Calidad así como la priorización y concertación de los planes de muestreo. El documento técnico ha sido elaborado y revisado por la Unidad de Riesgos y ajustado de acuerdo a las observaciones recibidas. Estudios previos elaborados y remitidos al Grupo de Gestión Contractual. Se encuentra en proceso la  contratación del servicio de transporte, análisis de muestras y la compra de insumos .</t>
  </si>
  <si>
    <r>
      <rPr>
        <b/>
        <sz val="8"/>
        <rFont val="Arial"/>
        <family val="2"/>
      </rPr>
      <t xml:space="preserve">7.4: Hortofrutícolas. </t>
    </r>
    <r>
      <rPr>
        <sz val="8"/>
        <rFont val="Arial"/>
        <family val="2"/>
      </rPr>
      <t xml:space="preserve">Para el caso de arroz nacional e importado se realizaron 3 mesas de trabajo con los gremios, grupos de trabajo territoriales y con el Ministerio de Salud, Ministero de Agricultura DNP,  Ministerio de Ambiente en Neiva el 25 de octubre, Villavicencio 22 de noviembre y en Monetria el 29 de noviembre, socializando los resultados y estableciendo actividades para minimizar el peligro encontrado (cadmio y plomo).
Productos hortofruticolas: Hubo retroalimentación del informe por parte del ICA, se realizaron los ajustes y se remitio a la Unidad de Riesgos , hubo nuevas observaciones las cuales por parte del Invima se ajustaron y las correspondientes al ICA  se esta a la espera auin de la retroalimentación.
Con los resultados obtenidos de metales pesados en productos hortofruticolas se trabajo con el DNP, con el INS, ICA y Ministerio de ambiente para la construcción de un mapa de riesgos sobre metales pesados de Cadmio, mercurio y plomo. Asi mismo a traves de un convenio el Invima y el INS se está elaborando un documento de evaluación de riesgo de residuos de plaguicidas en alimentos de origen vegetal para consumo.
</t>
    </r>
    <r>
      <rPr>
        <b/>
        <sz val="8"/>
        <rFont val="Arial"/>
        <family val="2"/>
      </rPr>
      <t xml:space="preserve">Hortofrutícolas (Cadmio-Cacao): </t>
    </r>
    <r>
      <rPr>
        <sz val="8"/>
        <rFont val="Arial"/>
        <family val="2"/>
      </rPr>
      <t>Junto con el INS dentro del convenio interinstitucional, se trabajó un documento de evaluación de riesgo en cadmio en productos derivados de cacao, desarrollando propuesta para establecer un nivel maximo permitido de cadmio para consumo en estos productos . El documento con los resultados obtenidos se socializó en el  Consejo Nacional de Cacaoteros el 23 de noviembre de 2018.
Se ha realizado seguimiento a traves de solicitudes por correo a la Unidad de Riesgo el 10/09/2018, 17/102018 y 30/01/2019 solitando la respuesta de la validación del informe para dar el cierre al poroyecto.</t>
    </r>
    <r>
      <rPr>
        <b/>
        <sz val="8"/>
        <rFont val="Arial"/>
        <family val="2"/>
      </rPr>
      <t xml:space="preserve">
7.5: Leche cruda:  </t>
    </r>
    <r>
      <rPr>
        <sz val="8"/>
        <rFont val="Arial"/>
        <family val="2"/>
      </rPr>
      <t xml:space="preserve">Se recibido la ultima retroalimentación de la Unidad de Riesgos el 18 de enero de 2019, se ajustaron las observaciones conjunatamente con el ICA y se remitio a la Unidad del riesgos la ultima version el 11 de febrero de 2019. Se encuentra pendiente del visto bueno de la Unidad de Riesgos para la correspondiente publicación.
</t>
    </r>
    <r>
      <rPr>
        <b/>
        <sz val="8"/>
        <rFont val="Arial"/>
        <family val="2"/>
      </rPr>
      <t xml:space="preserve">Bovinos y porcinos: </t>
    </r>
    <r>
      <rPr>
        <sz val="8"/>
        <rFont val="Arial"/>
        <family val="2"/>
      </rPr>
      <t>El informe final fue revisado por el profesional estadístico de la Dirección de Alimentos y Bebidas para ser remitido a la Unidad de Riesgos para revisión y observaciones.
 La actividad de elaboración de informe final presenta un atraso considerable ya que debió ser terminada en la vigencia 2017.
Se requiere que el profesional líder del proyecto remita de manera urgente el documento final a la Unidad de Riesgos y se establezcan las fechas de entrega del documento y de esta manera se pueda determinar con certeza cuando estará listo este producto final.</t>
    </r>
    <r>
      <rPr>
        <b/>
        <sz val="8"/>
        <rFont val="Arial"/>
        <family val="2"/>
      </rPr>
      <t xml:space="preserve">
Aves:</t>
    </r>
    <r>
      <rPr>
        <sz val="8"/>
        <rFont val="Arial"/>
        <family val="2"/>
      </rPr>
      <t xml:space="preserve"> La actividad de divulgación de resultados fue modificada mediante un control de cambios, sin embargo teniendo en cuenta que el documento con el informe final aún no ha sido revisado por la Unidad de Riesgos es muy probable que esta fecha no se cumpla. Debido a éste contratiempo  superó el tiempo determinado en el cronograma por lo cual queda en estado CRITICO. </t>
    </r>
    <r>
      <rPr>
        <b/>
        <sz val="8"/>
        <rFont val="Arial"/>
        <family val="2"/>
      </rPr>
      <t xml:space="preserve">
7.9: </t>
    </r>
    <r>
      <rPr>
        <sz val="8"/>
        <rFont val="Arial"/>
        <family val="2"/>
      </rPr>
      <t xml:space="preserve">Se ha realizado seguimiento a traves de solicitudes por correo a la Unidad de Riesgo el 10/09/2018, 17/10/2018 y 30/01/2019 solitando la respuesta de la validación del informe para dar el cierre al poroyecto 
</t>
    </r>
    <r>
      <rPr>
        <b/>
        <sz val="8"/>
        <rFont val="Arial"/>
        <family val="2"/>
      </rPr>
      <t>7.14: Pesca 2017
7.14.2: T</t>
    </r>
    <r>
      <rPr>
        <sz val="8"/>
        <rFont val="Arial"/>
        <family val="2"/>
      </rPr>
      <t>oma de meustras: 100% ejecutadas 226 muestras
Analisis de laboratorio: 100% ejecutada 226 analisis
Revisión de analisis: 100% encontrando 6 resultados con concepto rechazado por superar el nivel máximo de mercurio total en atum enlatadao.</t>
    </r>
    <r>
      <rPr>
        <b/>
        <sz val="8"/>
        <rFont val="Arial"/>
        <family val="2"/>
      </rPr>
      <t xml:space="preserve">
7.15 origen vegetal 2017
7.15.1: </t>
    </r>
    <r>
      <rPr>
        <sz val="8"/>
        <rFont val="Arial"/>
        <family val="2"/>
      </rPr>
      <t>Revisión de informe final Grupo riesgos:  La Unidad de Riesgos remitió el informe en noviembre de 2018 para hacer comentarios, este mismo se envio al ICA para los ajustes pertinentes.  Correos enviados al ICA :
- Informe Hortofrutícola ICA–INVIMA 2017, primer documento para revisión, enviado por vía correo el 14 de noviembre de 2018, a los doctores Diego Rojas, Jaime Cardenas y Alfonso Araujo.
- Informe Hortofrutícola ICA-INVIMA 2017, documento anterior ya ajustado, enviado por vía correo el 26 de diciembre de 2018 al doctor Jaime Cardenas, con copia a Julian Ayala y Doris Novoa (las personas encargadas de la ejecución del plan de hortofrutícola por parte del ICA en el año 2017.)
El 12 de febrero el Director de Alimentos y Bebidas reiteró la solicitud al ICA mencionando los correos enviados para obtener la respuesta de la retroalimentación y poder dar terminación a esta fase.</t>
    </r>
    <r>
      <rPr>
        <b/>
        <sz val="8"/>
        <rFont val="Arial"/>
        <family val="2"/>
      </rPr>
      <t xml:space="preserve">
7.15.2: </t>
    </r>
    <r>
      <rPr>
        <sz val="8"/>
        <rFont val="Arial"/>
        <family val="2"/>
      </rPr>
      <t xml:space="preserve">Toma de muestras: Se tomó el total de las muestras programadas y se ha recibido de igual forma el total de resultados por parte del Laboratorio. 
 Se consolidó y revisó el 100% de los resultados de los analisis de las muestras encontrando 20 resultados rechazados, 19 por conservantes y una por aflatoxina, de estos 20 se envio la Directriz al Grupo de vigilancia epidemiologica y al Grupo Técnico de Alimentos y Bebidas con la propuesta de intervención. </t>
    </r>
    <r>
      <rPr>
        <b/>
        <sz val="8"/>
        <rFont val="Arial"/>
        <family val="2"/>
      </rPr>
      <t xml:space="preserve">
7.15.3: </t>
    </r>
    <r>
      <rPr>
        <sz val="8"/>
        <rFont val="Arial"/>
        <family val="2"/>
      </rPr>
      <t>El proyecto termina con una ejecución del 98%, presentando retrasos en las actividades de revisión de informe final con grupo de riesgos y presentar y publicar informes de resultados,  se sugiere consultar con el comité Tripartita para no incluirlo dentro del cierre de brechas de la palataforma estartegica 2015-2018  y que estos queden ser contemplados dentro de una nueva fase en los nuevos subproyectos de la plataforma estartegica 2019-2022, lo anterior con el fin de recibir los productos (informes) que son el soporte de la ejecucion presupuestal de los proyectos de Inversion que financian los programas especiales.</t>
    </r>
    <r>
      <rPr>
        <b/>
        <sz val="8"/>
        <rFont val="Arial"/>
        <family val="2"/>
      </rPr>
      <t xml:space="preserve">
7.15.4: </t>
    </r>
    <r>
      <rPr>
        <sz val="8"/>
        <rFont val="Arial"/>
        <family val="2"/>
      </rPr>
      <t xml:space="preserve">La Dirección de Alimentos envio a la Unidad de Riesgos nuevamente documento actualizado con nuevas observaciones el 13 de noviembre de 2018. Se encuentra en espera de la respuesta de la unidad de Riesgos.
La actividad presentar y publicar informes se encuentra atrasada nuevamente frente a la fecha establecida en el cronograma de actividades.
</t>
    </r>
    <r>
      <rPr>
        <b/>
        <sz val="8"/>
        <rFont val="Arial"/>
        <family val="2"/>
      </rPr>
      <t xml:space="preserve">7.15.5: 7.15.6 : </t>
    </r>
    <r>
      <rPr>
        <sz val="8"/>
        <rFont val="Arial"/>
        <family val="2"/>
      </rPr>
      <t>La Dirección de Alimentos envió a la Unidad de Riesgos  documento actualizado con nuevas observaciones el 13 de noviembre de 2018. Se encuentra en espera de la respuesta de la unidad de Riesgos.</t>
    </r>
    <r>
      <rPr>
        <b/>
        <sz val="8"/>
        <rFont val="Arial"/>
        <family val="2"/>
      </rPr>
      <t xml:space="preserve">
7.16 origen animal 2017
7.16.1:  </t>
    </r>
    <r>
      <rPr>
        <sz val="8"/>
        <rFont val="Arial"/>
        <family val="2"/>
      </rPr>
      <t>Bovinos: Se tomó la totalidad de las muestras para un cumplimiento del 100% 
Respecto a los análisis de laboratorio se han recibido  de la siguiente manera: Laboratorio Invima: 698 resultados que corresponden al 100% del total programado, Laboratorios tercerizados: se han recibido 1762 analisis programados para un cumplimiento del 100% .
En el analisis de los resultados se evidenciaron parcialmente 21 resultados rechazados, los cuales se comunicaron al grupo técnico de carnes y al ICA para las medidas de intervención pertinentes.</t>
    </r>
    <r>
      <rPr>
        <b/>
        <sz val="8"/>
        <rFont val="Arial"/>
        <family val="2"/>
      </rPr>
      <t xml:space="preserve">
7.16.2: </t>
    </r>
    <r>
      <rPr>
        <sz val="8"/>
        <rFont val="Arial"/>
        <family val="2"/>
      </rPr>
      <t>Porcinos: El proyecto presenta retrasos en las actividades de revision de informe final con grupo de riesgos y presentar y publicar informes de resultados,  teniendo en cuenta que los retrasos corresponden a que   está pendiente la revisión y aprobación para publicacion y/o socializacion.</t>
    </r>
    <r>
      <rPr>
        <b/>
        <sz val="8"/>
        <rFont val="Arial"/>
        <family val="2"/>
      </rPr>
      <t xml:space="preserve">
7.16.3: </t>
    </r>
    <r>
      <rPr>
        <sz val="8"/>
        <rFont val="Arial"/>
        <family val="2"/>
      </rPr>
      <t xml:space="preserve">Aves: </t>
    </r>
    <r>
      <rPr>
        <b/>
        <sz val="8"/>
        <rFont val="Arial"/>
        <family val="2"/>
      </rPr>
      <t xml:space="preserve"> </t>
    </r>
    <r>
      <rPr>
        <sz val="8"/>
        <rFont val="Arial"/>
        <family val="2"/>
      </rPr>
      <t>Se han tomado 562 muestras de un total de 565 programadas.
Respecto a los resultados de laboratorio se han recibido resultados distribuidos de la siguiente manera: Analisis de laboratorio Invima: 83 resultados de 89 programados, Laboratorios tercerizados: 458 resultados de 476 programados.
 Se presenta atrasos en la entrega de resultados de los laboratorios, la anterior situación puede generar que las actividades de revisión de resultados y la fase de cierre puedan verse impactadas en cuanto al cumplimientos de los tiempos establecidos ya que los análisis de laboratorio son un insumo fundamental para la elaboración del informe final.
 Es fundamental acordar con los laboratorios la entrega de los resultados a la mayor brevedad y de esta manera revisar la pertinencia de solicitar un control de cambios para ajuste del cronograma del proyecto.</t>
    </r>
    <r>
      <rPr>
        <b/>
        <sz val="8"/>
        <rFont val="Arial"/>
        <family val="2"/>
      </rPr>
      <t xml:space="preserve">
7.16.4: </t>
    </r>
    <r>
      <rPr>
        <sz val="8"/>
        <rFont val="Arial"/>
        <family val="2"/>
      </rPr>
      <t xml:space="preserve"> Huevo: Respecto a los análisis de laboratorio se han recibido 176 resultados distribuidos de la siguiente manera: Laboratorio Invima 36 análisis de 36 totales programados, Laboratorios tercerizados 140 análisis de 151 totales programados.
No se han identificado resultados rechazados en la revisión hecha de acuerdo a la normatividad vigente.
Se presenta atrasos de un mes en la entrega de resultados de laboratorios tercerizados, la anterior situación puede generar que las actividades de revisión de resultados y la fase de cierre puedan verse impactadas en cuanto al cumplimientos de los tiempos establecidos ya que los análisis de laboratorio son un insumo fundamental para la elaboración del informe final.</t>
    </r>
    <r>
      <rPr>
        <b/>
        <sz val="8"/>
        <rFont val="Arial"/>
        <family val="2"/>
      </rPr>
      <t xml:space="preserve">
7.16.5: </t>
    </r>
    <r>
      <rPr>
        <sz val="8"/>
        <rFont val="Arial"/>
        <family val="2"/>
      </rPr>
      <t xml:space="preserve">Lecha cruda: </t>
    </r>
    <r>
      <rPr>
        <b/>
        <sz val="8"/>
        <rFont val="Arial"/>
        <family val="2"/>
      </rPr>
      <t>S</t>
    </r>
    <r>
      <rPr>
        <sz val="8"/>
        <rFont val="Arial"/>
        <family val="2"/>
      </rPr>
      <t>e han tomado 350 muestras de un total de 350 programadas, y se han recibido 350 resultados por parte de la Oficina de Laboratorios.
No se han presentado resultados rechazados de acuerdo a la normatividad vigente.</t>
    </r>
    <r>
      <rPr>
        <b/>
        <sz val="8"/>
        <rFont val="Arial"/>
        <family val="2"/>
      </rPr>
      <t xml:space="preserve">
7.16.6:  </t>
    </r>
    <r>
      <rPr>
        <sz val="8"/>
        <rFont val="Arial"/>
        <family val="2"/>
      </rPr>
      <t>Pollo importado: El 30 de enero de 2019 se envió correo a la Unidad de Riesgo solicitando el informe final ya revisado de pollo importado, toda vez que ya había sido entregado por la Dirección de Alimentos con los comentarios y ajustes de la 2da revisión el  21 de agosto de 2018, además ya en otras dos oportunidades se había reiterado esta solicitud (9 de septiembre 2019  y 17 de octubre 2018).
El proyecto no presenta avance y continua con un atraso en la fase de cierre por lo que se recomienda revisar el cronograma de trabajo y realizar la gestión y las acciones necesarias para su culminación.
 Se recomienda  solicitar a la Unidad deRiesgos tener en cuenta que la demora en el estudio del informe perjudica el cumplimeinto del cronograma establecido y el cierre del proyecto.</t>
    </r>
    <r>
      <rPr>
        <b/>
        <sz val="8"/>
        <rFont val="Arial"/>
        <family val="2"/>
      </rPr>
      <t xml:space="preserve">
7.17: acuicultura 2018
7.17.1: Mercurio Atún:  </t>
    </r>
    <r>
      <rPr>
        <sz val="8"/>
        <rFont val="Arial"/>
        <family val="2"/>
      </rPr>
      <t>Contratación de servicios de insumos y servicios de transporte mediante el contrato # 398, no aplica la contratación de servicios de análisis de muestras ya que el laboratorio Invima analizará la totalidad de las muestras de acuerdo a lo planteado en el comité tripartita del 15 de noviembre de 2017.
De 318 muestras programadas en total, se han tomado 180, y se han analizado 172 por parte del Laboratorio Invima a las cuales se les ha hecho la revisión de análisis correspondiente, encontrando un resultado rechazado por superar el límite maximo permido de mercurio en atun enlatado.</t>
    </r>
    <r>
      <rPr>
        <b/>
        <sz val="8"/>
        <rFont val="Arial"/>
        <family val="2"/>
      </rPr>
      <t xml:space="preserve">
7.17.2: </t>
    </r>
    <r>
      <rPr>
        <sz val="8"/>
        <rFont val="Arial"/>
        <family val="2"/>
      </rPr>
      <t>Pesca UE: La fase de planeación se ejecutó en su totalidad, teniendo en cuenta que se eliminó las actividades de contratación de servicio de análisis de muestras que serán analizadas por el Invima y por las empresas exportadoras quienes asumirán este costo, de igual forma la actividad de justificación de vigencias futuras toda vez que el plan de muestreo termina en esta vigencia, teniendo en cuenta el acta de comité tripartita del 15 de noviembre de 2017.
De 97 muestras programadas se tomaron 93, los análisis se realizan así:  Laboratorio Invima: 65 análisis de 67 totales programados,  Laboratorios tercerizados: 28 análisis de 30 totales programados.
Se revisaron los 93 resultados de acuerdo a la normatividad vigente.  No se presentaron resultados no conformes.</t>
    </r>
    <r>
      <rPr>
        <b/>
        <sz val="8"/>
        <rFont val="Arial"/>
        <family val="2"/>
      </rPr>
      <t xml:space="preserve">
7.18: origen vegetal 2018
7.18.1: </t>
    </r>
    <r>
      <rPr>
        <sz val="8"/>
        <rFont val="Arial"/>
        <family val="2"/>
      </rPr>
      <t>Micotoxinas: Se han tomado 133 muestras de las  291 programadas, se han analizado por parte del Laboratorio 102 muestras y se ha hecho revisión de análisis de las mismas encontrando  17 resultados rechazados asi: 4 por ocratoxina A, 6 por Aflatoxina y 7 por conservantes.</t>
    </r>
    <r>
      <rPr>
        <b/>
        <sz val="8"/>
        <rFont val="Arial"/>
        <family val="2"/>
      </rPr>
      <t xml:space="preserve">
7.18.2: </t>
    </r>
    <r>
      <rPr>
        <sz val="8"/>
        <rFont val="Arial"/>
        <family val="2"/>
      </rPr>
      <t>Arroz: Se realiza la toma muestras por los GTT del Invima, de las 231 programadas se tomaron 116, se ha analizado por parte del Laboratorio Invima 76 muestras y se ha hecho la revisión de análisis de las mismas 76.</t>
    </r>
    <r>
      <rPr>
        <b/>
        <sz val="8"/>
        <rFont val="Arial"/>
        <family val="2"/>
      </rPr>
      <t xml:space="preserve">
7.18.3: </t>
    </r>
    <r>
      <rPr>
        <sz val="8"/>
        <rFont val="Arial"/>
        <family val="2"/>
      </rPr>
      <t>OGM Ecológico: Se tomaron 123 muestras de las 123 programadas, se ha recibido 78 análisis por parte del  Laboratorio, se ha hecho la revisión de 78 analisis de resultados de acuerdo a la normatividad vigente identificado 6 resultados rechazados.</t>
    </r>
    <r>
      <rPr>
        <b/>
        <sz val="8"/>
        <rFont val="Arial"/>
        <family val="2"/>
      </rPr>
      <t xml:space="preserve">
7.18.4: </t>
    </r>
    <r>
      <rPr>
        <sz val="8"/>
        <rFont val="Arial"/>
        <family val="2"/>
      </rPr>
      <t>OGM Importado: Se tomó el 100% de las muestras programadas: 112,  se ha recibido 24 análisis por parte de Laboratorio y se presentan algunos atrasos debido al inconveniente en la contratación del servicio de transporte situación que se está manejando conjuntamente con el Laboratorio del Invima, durante la revisión de resultados de acuerdo a la normatividad vigente no se han identificado resultados rechazados.</t>
    </r>
    <r>
      <rPr>
        <b/>
        <sz val="8"/>
        <rFont val="Arial"/>
        <family val="2"/>
      </rPr>
      <t xml:space="preserve">
7.18.5: </t>
    </r>
    <r>
      <rPr>
        <sz val="8"/>
        <rFont val="Arial"/>
        <family val="2"/>
      </rPr>
      <t>OGM Rotulado: Se han tomado 162 muestras de 166 totales programadas, se ha recibido 50 análisis por parte de Laboratorio, durante el proceso de revisión de resultados de acuerdo a la normatividad vigente se han identificado 6 resultados rechazados.</t>
    </r>
    <r>
      <rPr>
        <b/>
        <sz val="8"/>
        <rFont val="Arial"/>
        <family val="2"/>
      </rPr>
      <t xml:space="preserve">
7.19: origen animal 2018
7.19.1:</t>
    </r>
    <r>
      <rPr>
        <sz val="8"/>
        <rFont val="Arial"/>
        <family val="2"/>
      </rPr>
      <t xml:space="preserve"> Bovinos:  A la fecha se ha tomado 163 muestras de 2803 totales programadas, el proyecto no presenta avance.</t>
    </r>
    <r>
      <rPr>
        <b/>
        <sz val="8"/>
        <rFont val="Arial"/>
        <family val="2"/>
      </rPr>
      <t xml:space="preserve">
7.19.2: </t>
    </r>
    <r>
      <rPr>
        <sz val="8"/>
        <rFont val="Arial"/>
        <family val="2"/>
      </rPr>
      <t>Aves:  A la fecha se ha tomado 30 muestras de 696 totales programadas, el proyecto no presenta avance.</t>
    </r>
    <r>
      <rPr>
        <b/>
        <sz val="8"/>
        <rFont val="Arial"/>
        <family val="2"/>
      </rPr>
      <t xml:space="preserve">
7.19.3: </t>
    </r>
    <r>
      <rPr>
        <sz val="8"/>
        <rFont val="Arial"/>
        <family val="2"/>
      </rPr>
      <t>Porcinos: Se ha tomado 1039 muestras en total de las 1646 muestras programadas de las cuales 603 corresponden a los Laborotarios AINIA, 54  muestras del Laboratorio VIAMED y 382 muestras de los laboratorios del Invima, por lo que la fase presenta un avance positivo con el 63% de avance en general.</t>
    </r>
    <r>
      <rPr>
        <b/>
        <sz val="8"/>
        <rFont val="Arial"/>
        <family val="2"/>
      </rPr>
      <t xml:space="preserve">
7.19.4: </t>
    </r>
    <r>
      <rPr>
        <sz val="8"/>
        <rFont val="Arial"/>
        <family val="2"/>
      </rPr>
      <t>Leche: Se ha realizado la contratación del servicio de análisis de muestras exceptuando los analisis de PCB´S (15 analisis) por declartoria del proceso desierto. 
Se realizó la justificacion técnica para la solicitud de vigencias futuras, solicitud que cuenta con la respectiva aprobación ante el Ministerio de Hacienda y Crédito Público del pasado 6 de diciembre de 2018 con radicado No 2-2018-045194.
Durante la contratación de análisis para el primer semestre de 2019 se está contemplando los análisis de PCB´s pendientes del semestre anterior.</t>
    </r>
    <r>
      <rPr>
        <b/>
        <sz val="8"/>
        <rFont val="Arial"/>
        <family val="2"/>
      </rPr>
      <t xml:space="preserve">
</t>
    </r>
    <r>
      <rPr>
        <sz val="8"/>
        <rFont val="Arial"/>
        <family val="2"/>
      </rPr>
      <t>La toma de muestras inició en el mes de Septiembre y se han tomado 197 muestras de 450 programadas,  de las 450 muestras solamente 366 son analizadas por INVIMA,  se han recibido resultados de 160 muestras todas conformes con la normatividad sanitaria vigente.
Se aclara que el ICA presentó dificultades para el envío correcto de las muestras a los Laboratorios de destino, remitiendo una mayor cantidad de muestras de lo programado al Laboratorio INVIMA. 
Para este proyecto las muestras serán tomadas por el ICA y remitidas a los GTTs del Invima para envío a los respectivos Laboratorios.
Para este proyecto los análisis de laboratorio se discriminará asi.
Total de análisis del proyecto Invima: 531,Total de análisis del Laboratorio Invima 103,Total de análisis del Laboratorios tercerizados 428.
Total de muestras analizadas del proyecto por Invima: 366, Total de análisis del Laboratorio Invima a la fecha: 65, Total de análisis del LaboratorioTerceros a la fecha: 210.</t>
    </r>
  </si>
  <si>
    <r>
      <t xml:space="preserve">
10.11: </t>
    </r>
    <r>
      <rPr>
        <sz val="8"/>
        <rFont val="Arial"/>
        <family val="2"/>
      </rPr>
      <t>Se da cumplimiento a la fase de Prueba piloto, capacitación e implementación. Se ha trabajado en la socialización y presentación a la industria de medicamentos y dispositivos médicos.</t>
    </r>
    <r>
      <rPr>
        <b/>
        <sz val="8"/>
        <rFont val="Arial"/>
        <family val="2"/>
      </rPr>
      <t xml:space="preserve">
10.14: </t>
    </r>
    <r>
      <rPr>
        <sz val="8"/>
        <rFont val="Arial"/>
        <family val="2"/>
      </rPr>
      <t xml:space="preserve">Se solucionan incidencias presentadas en el aplicativo relacionadas al cargue y visualización de los documentos cargados por los usuarios.
</t>
    </r>
    <r>
      <rPr>
        <b/>
        <sz val="8"/>
        <rFont val="Arial"/>
        <family val="2"/>
      </rPr>
      <t xml:space="preserve">10.15: </t>
    </r>
    <r>
      <rPr>
        <sz val="8"/>
        <rFont val="Arial"/>
        <family val="2"/>
      </rPr>
      <t xml:space="preserve">El Grupo Técnico de Articulación y Coordinación Entidades Territoriales de Salud en conjunto con las diferentes dependencias del Instituto ha adelantado lo pertinente frente al diagnóstico de la problemática sanitaria de alimentos y bebidas en el país. Se evidencias documentos de trabajo (matriz DOFA con las diferentes variables planteadas).
</t>
    </r>
    <r>
      <rPr>
        <b/>
        <sz val="8"/>
        <rFont val="Arial"/>
        <family val="2"/>
      </rPr>
      <t xml:space="preserve">10.16: </t>
    </r>
    <r>
      <rPr>
        <sz val="8"/>
        <rFont val="Arial"/>
        <family val="2"/>
      </rPr>
      <t>El proycto terminó de acuerdo al cronograma establecido y desarrollando las actividades y entregables planteados.</t>
    </r>
    <r>
      <rPr>
        <b/>
        <sz val="8"/>
        <rFont val="Arial"/>
        <family val="2"/>
      </rPr>
      <t xml:space="preserve">
10:20: </t>
    </r>
    <r>
      <rPr>
        <sz val="8"/>
        <rFont val="Arial"/>
        <family val="2"/>
      </rPr>
      <t>Se ejecutó el 100% de las actividades de Formular los requisitos y beneficios para el programa Operador Economico, Cargue virtual de documentos y Definir los productos en procesos de inspección y certificación, se encuentra en tramite de realizar la formulación delplan de fortalecimiento de talento humano para terminar el proyecto.</t>
    </r>
    <r>
      <rPr>
        <b/>
        <sz val="8"/>
        <rFont val="Arial"/>
        <family val="2"/>
      </rPr>
      <t xml:space="preserve">
10:21: </t>
    </r>
    <r>
      <rPr>
        <sz val="8"/>
        <rFont val="Arial"/>
        <family val="2"/>
      </rPr>
      <t>Se ha ejecutado un 83% de la fase de implementación logrando: Instructivo para la inscripción de establecimientos de acuerdo a lo establecido en la resolución 2674 de 2013, Rueda de negocios en conjunto con el Ejercito Nacional en Chaparral-Tolima, Reunión con la Unidad Adiministrativa Especial de Arauca, Asistencia el 17 de julio a Barrancas-Guajira / 26 participantes, Asistencia el 24 de julio a Villavicencio-Meta / 22 participantes y Asistencia el 26 de julio a Medellín-Antioquía / 22 participantes.</t>
    </r>
    <r>
      <rPr>
        <b/>
        <sz val="8"/>
        <rFont val="Arial"/>
        <family val="2"/>
      </rPr>
      <t xml:space="preserve">
10:22: </t>
    </r>
    <r>
      <rPr>
        <sz val="8"/>
        <rFont val="Arial"/>
        <family val="2"/>
      </rPr>
      <t xml:space="preserve">El nuevo en enfoque del proyecto se planteó en realizar un trabajo mancomunado con el Instituto Colombiano Agropecuario en cuanto a fortalecer la trazabilidad de la granja a la mesa reforzando lo concerniente a la integración de la información de la procedencia de los animales vivos que ingresan a las plantas de beneficio animal, con la información de las guías de transporte de carne en canal  que deben emitir estas plantas de tal manera que se favorezca la certificación en la procedencia de las carnes que emplean como materia prima en los demás eslabones de trasformación de la cadena cárnica, establecimientos como plantas de desposte, acondicionadores, plantas de derivados cárnicos y expendios. El proyecto ha sido revisiado y ajustado de acuerdo a las fechas de implementacion proyectadas  de tal manera que esten incluidas dentro de las actividades a realizar por el grupo tecnico de carnes de la DAB desde el mes de Septiembre hasta Diciembre de 2018. Se han realizado visitas piloto en la ciudad de Bogotá (San Martin-Guadalupe).
</t>
    </r>
    <r>
      <rPr>
        <b/>
        <sz val="8"/>
        <rFont val="Arial"/>
        <family val="2"/>
      </rPr>
      <t xml:space="preserve">10:23: </t>
    </r>
    <r>
      <rPr>
        <sz val="8"/>
        <rFont val="Arial"/>
        <family val="2"/>
      </rPr>
      <t>El grupo de registros sanitarios de medicamentos biológicos continua con la identificación de la inclusión de modificaciones de alto riesgo, de la cual se ha depurado la información hasta noviembre de 2017, se realizó la Convocatoria 035 publicada en página web del Instituto,de químicos farmacéuticos para apoyar la ejecución de los proyectos a cargo de la Dirección, en proceso. Se ha realizado análisis sobre los hallazgos y sobre las posibles falencias que se han presentado con los usuarios.</t>
    </r>
    <r>
      <rPr>
        <b/>
        <sz val="8"/>
        <rFont val="Arial"/>
        <family val="2"/>
      </rPr>
      <t xml:space="preserve">
10:24: </t>
    </r>
    <r>
      <rPr>
        <sz val="8"/>
        <rFont val="Arial"/>
        <family val="2"/>
      </rPr>
      <t xml:space="preserve">Se realizó Documento N°3 con los hallazgos significativos de la referenciación y la revisión sistemática para reactivos de diagnóstico para HIV en el contexto de Colombia. Versión preliminar de diseño de taller e instructivo. Se aplica prueba de concordancia tanto inter-observador, como intra-observador.
</t>
    </r>
    <r>
      <rPr>
        <b/>
        <sz val="8"/>
        <rFont val="Arial"/>
        <family val="2"/>
      </rPr>
      <t xml:space="preserve">10.25: </t>
    </r>
    <r>
      <rPr>
        <sz val="8"/>
        <rFont val="Arial"/>
        <family val="2"/>
      </rPr>
      <t>El proyecto avance en la fase planificación y ejecución en un 63% con la ejecución de las siguientes actividadeas: * En cuanto a la actividad referente a contratación de personal, se ha publicado convocatoria en página web institucional. El grupo de registros sanitarios de la dirección de medicamentos y productos biológicos continúa con la identificación de trámites a estudiar. * De los trámites radicados a la fecha se han programado 13 visitas para Bogotá y 3 a nivel nacional. Se evidencia archivo en el que reposan las actas de visita, de igual manera la información está cargada en el controlador de dominio para consulta.</t>
    </r>
    <r>
      <rPr>
        <b/>
        <sz val="8"/>
        <rFont val="Arial"/>
        <family val="2"/>
      </rPr>
      <t xml:space="preserve">
10:26: </t>
    </r>
    <r>
      <rPr>
        <sz val="8"/>
        <rFont val="Arial"/>
        <family val="2"/>
      </rPr>
      <t>La fase de diseño y planificación se ha desarrolaldo en un 74% consiguiendo la ejecución de: * En el marco de la capacitación a los fabricantes de bebidas alcoholicas se han llevado a cabo 10 talleres a nivel nacional, adicionalmente se brindaba la posibilidad de acompañamiento en planta. * Se han recibido dos hojas de vida de expertos interesados.</t>
    </r>
  </si>
  <si>
    <r>
      <rPr>
        <b/>
        <sz val="8"/>
        <rFont val="Arial"/>
        <family val="2"/>
      </rPr>
      <t xml:space="preserve">10.11: </t>
    </r>
    <r>
      <rPr>
        <sz val="8"/>
        <rFont val="Arial"/>
        <family val="2"/>
      </rPr>
      <t>Se ha proyectado oficio con destino a la DIAN (pendiente de envío), mediante la cual se informa sobre el modelo de inspección de dispositivos médicos y medicamentos, solicitando además apoyo en cuanto a informar sobre el arribo de ciertos productos al país para inspección de los mismos y recopilación de información.
El proyecto seguirá su ejecución en la vigencia 2019, por lo que se incluirá en la plataforma estratégica del nuevo cuatrienio.</t>
    </r>
    <r>
      <rPr>
        <b/>
        <sz val="8"/>
        <rFont val="Arial"/>
        <family val="2"/>
      </rPr>
      <t xml:space="preserve">
10.14: </t>
    </r>
    <r>
      <rPr>
        <sz val="8"/>
        <rFont val="Arial"/>
        <family val="2"/>
      </rPr>
      <t>Se realizan pruebas parciales obteniendo resultados satisfactorios. Posteriormente surge la necesidad de realizar ciertos cambios al sistema, que no se realizaron por falta del recurso desarrollador.   
El proyecto seguirá su ejecución en la vigencia 2019, por lo que se incluirá en la plataforma estratégica del nuevo cuatrienio.</t>
    </r>
    <r>
      <rPr>
        <b/>
        <sz val="8"/>
        <rFont val="Arial"/>
        <family val="2"/>
      </rPr>
      <t xml:space="preserve">
10.15: </t>
    </r>
    <r>
      <rPr>
        <sz val="8"/>
        <rFont val="Arial"/>
        <family val="2"/>
      </rPr>
      <t>Censo de establecimientos en https://www.invima.gov.co/images/pdf/inspecion_y_vigilancia/direccion-alimentos/Articulacion_Entidades_Territoriales_Salud/CONSOLIDADO-NACIONAL-ESTABLECIMIENTOS.pdf
Guía para la verificación de comportamientos en relacion con la salud pública en materia de consumo de alimentos.
CIRCULAR EXTERNA 4000-3913-18. Comunicación de información de eventos de interés en salud pública y acciones a seguir en emergencias y desastres (ayuda alimentaria).
El Grupo Técnico de Articulación y Coordinación Entidades Territoriales de Salud realiza presentación del proyecto en general al nuevo Director de Alimentos y Bebidas.
Se realizará presentación al nuevo Director General, obteniendo así el direccionamiento necesario para dar continuidad a la ejecución del proyecto.
 El proyecto seguirá su ejecución en la vigencia 2019, por lo que se incluirá en la plataforma estratégica del nuevo cuatrienio.</t>
    </r>
    <r>
      <rPr>
        <b/>
        <sz val="8"/>
        <rFont val="Arial"/>
        <family val="2"/>
      </rPr>
      <t xml:space="preserve">
10.20:</t>
    </r>
    <r>
      <rPr>
        <sz val="8"/>
        <rFont val="Arial"/>
        <family val="2"/>
      </rPr>
      <t xml:space="preserve"> Por diferentes incovenientes relacionados a la disponibilidad de la información no fue posible dar cumplimiento a las actividades enmarcadas en la "Fase 2: Formular el plan de fortalecimiento de talento humano".</t>
    </r>
    <r>
      <rPr>
        <b/>
        <sz val="8"/>
        <rFont val="Arial"/>
        <family val="2"/>
      </rPr>
      <t xml:space="preserve">
10.21: </t>
    </r>
    <r>
      <rPr>
        <sz val="8"/>
        <rFont val="Arial"/>
        <family val="2"/>
      </rPr>
      <t>Se genera propuesta de cartilla de Requisitos Sanitarios para la Fabricación de Alimentos y Bebidas, dirigida para toda la población, teniendo en cuenta las necesidades identificadas con las poblaciones indígenas y campesinas, con el fin de facilitar la comunicación entre el Instituto y el ciudadano, y promover la legalización de los productos objeto de vigilancia.
Informe ejecutivo: El documento presenta los avances y actividades desarrolladas durante el año 2018, abordando en primer lugar las generalidades del proyecto y finalizando con la descripción de las actividades ejecutadas en las fases de planeación, desarrollo e implementación, para el cumplimiento de los objetivos específicos</t>
    </r>
    <r>
      <rPr>
        <b/>
        <sz val="8"/>
        <rFont val="Arial"/>
        <family val="2"/>
      </rPr>
      <t xml:space="preserve">
10.22: </t>
    </r>
    <r>
      <rPr>
        <sz val="8"/>
        <rFont val="Arial"/>
        <family val="2"/>
      </rPr>
      <t>Establecimientos incluidos inicialmente dentro del alcance del proyecto: 1. Frigoporcinos Bello, 2. Supercedo Paisa, 3. Sociedad Central Ganadera S.A, 4. Cooperativa Colanta - Frigocolanta, 5. Antioqueña de Porcinos, 6. Frigosinú, 7. Red Cárnica, 8. Camaguey, 9. Frigotifigo Riofrio, 10. Frigorifico Vijagual
Establecimientos incluidos de acuerdo a la necesidad y los resultados obtenidos con los establecimientos identificados inicialmente: 11. Operadora Avicola Colombia, 12. Carnicos y Alimentos S.A.S, 13. Paulandia S.A.S, 14. Avicola El Madroño, 15. Planta de Beneficio La Rinconada.
Se verifican las condiciones del diligenciamiento y el cumplimiento de la normatividad establecida para el transporte de carne, en los establecimientos que aplica la expedición de esta guía. De acuerdo  esto, se estableció que el 100% (10 de 10) de los establecimientos a los cuales les aplica la guia de transporte (Resolución 2009026594 de 2009) la expiden. De los  establecimientos que no están dentro del alcance de la Resolución 2009026594 de 2009, todos expiden documentos similares para el despacho de los prodcutos hacia sus destinos.
Con respecto al manejo de guias de transporte interno de animales ICA, el 100% de los establecimientos que reciben como materia prima bovinos, porcinos y equinos la utilizan y son criterio de aceptación para permitir el ingreso de los animales para el beneficio.  Solo el establecimiento "Red Cárnica" ubicado en la ciudad de Cienaga de Oro, manifiesta que ha tenido inconvenientes cuando se realiza transbordo de los animales hacia otro vehiculo antes de llegar al establecimiento.
Se realizan capacitaciones de: * Trazabilidad y alcance de este programa dentro del establecimiento, * Normatividad Guia de transporte de carne, * Proyecto normativo Nueva Guia de Transporte y destino de la carne, * Borrador nuevas guias de transporte, * Identificación Animal LEY 1659 de 2013, * Presentación Clandestinidad e Ilegalidad.</t>
    </r>
    <r>
      <rPr>
        <b/>
        <sz val="8"/>
        <rFont val="Arial"/>
        <family val="2"/>
      </rPr>
      <t xml:space="preserve">
10.23: </t>
    </r>
    <r>
      <rPr>
        <sz val="8"/>
        <rFont val="Arial"/>
        <family val="2"/>
      </rPr>
      <t>Se identifican 262 trámites de modificaciones que se han clasificado por el nivel de riesgo (MB 1-2-3-4-5).
Se observa con preocupación que son muy pocos los laboratorios que se preocupan por mantener su dossier actualizado, de aproximadamente 1000 registros sanitarios de medicamentos biologicos, tan solo 176 (18%) han sometido modificaciones manteniendo así sus medicamentos actualizados. El 80% restante sólo actualizan el medicamento con la renovación.
El proyecto seguirá su ejecución en la vigencia 2019, por lo que se incluirá en la plataforma estratégica del nuevo cuatrienio.</t>
    </r>
    <r>
      <rPr>
        <b/>
        <sz val="8"/>
        <rFont val="Arial"/>
        <family val="2"/>
      </rPr>
      <t xml:space="preserve">
10.24:</t>
    </r>
    <r>
      <rPr>
        <sz val="8"/>
        <rFont val="Arial"/>
        <family val="2"/>
      </rPr>
      <t xml:space="preserve"> Se publica Formato lista de verificación evaluación técnica y sanitaria para la expedición de registros sanitarios para reactivos de diagnóstico in vitro. ASS-RSA-FM122.
Se publica Instructivo de evaluación técnica y sanitaria para la expedición de registros sanitarios para reactivos de diagnóstico in vitro. ASS-RSA-IN046, como complemento y está sujeto a la actualización de las normas incluidas, según las organizaciones internacionales.</t>
    </r>
    <r>
      <rPr>
        <b/>
        <sz val="8"/>
        <rFont val="Arial"/>
        <family val="2"/>
      </rPr>
      <t xml:space="preserve">
10.25: </t>
    </r>
    <r>
      <rPr>
        <sz val="8"/>
        <rFont val="Arial"/>
        <family val="2"/>
      </rPr>
      <t>Se dá cumplimiento a la identificación y clasificación por ingrediente farmacéutico activo y laboratorio fabricante.
En el último trimestre se realizan 12 vistas de Evaluación Farmacéutica, de las cuales 10 fueron a nivel Bogotá y 2 a nivel Nacional.
Mediante circular N°1000-131-18 se establecen los mecanismos para unificar registros sanitarios. Debido a la disponibilidad de herramientas tecnológicas con que cuenta actualmente el Invima, es necesario establecer procedimientos diferentes para la unificación concentraciones y unificación de volúmenes.</t>
    </r>
    <r>
      <rPr>
        <b/>
        <sz val="8"/>
        <rFont val="Arial"/>
        <family val="2"/>
      </rPr>
      <t xml:space="preserve">
10.26:</t>
    </r>
    <r>
      <rPr>
        <sz val="8"/>
        <rFont val="Arial"/>
        <family val="2"/>
      </rPr>
      <t xml:space="preserve"> Se hace presentación del proyecto ante el comité de contratación, no se autorizan los recursos necesarios para el proyecto por lo que no fue posible su ejecución.
</t>
    </r>
  </si>
  <si>
    <r>
      <rPr>
        <b/>
        <sz val="8"/>
        <rFont val="Arial"/>
        <family val="2"/>
      </rPr>
      <t xml:space="preserve">14:11: </t>
    </r>
    <r>
      <rPr>
        <sz val="8"/>
        <rFont val="Arial"/>
        <family val="2"/>
      </rPr>
      <t xml:space="preserve">Se realizó la contratación del portal web el 30 de agosto de 2018, el cual mejora el portal web, la experiencia de usuario en accesibilidad y usabilidad,  con un buscador robusto para consulta de información, con autenticación única del usuario externo e interno para acceder a la información acorde a la necesidad y con un gestor de contenido de fácil administración para crear y publicar contenido institucional, acorde a lineamientos de Gobierno digital, Ley de  Transparencia Ley 1712 de 2014 y necesidades de la entidad, al mes de septiembre se realizar el diseño del portal, estructuras y temas (header and footer). </t>
    </r>
    <r>
      <rPr>
        <b/>
        <sz val="8"/>
        <rFont val="Arial"/>
        <family val="2"/>
      </rPr>
      <t xml:space="preserve">
14.13: </t>
    </r>
    <r>
      <rPr>
        <sz val="8"/>
        <rFont val="Arial"/>
        <family val="2"/>
      </rPr>
      <t>Se ha llevado la gestión de la asignación de presupuesto para fortalecer la infraestructura tecnológica del Instituto, en la vigencia no fue posible adquirir algunos elementos debido a las necesidades institucionales o por tiempos de contratación, a continuación se relacionan los elementos que no se adquieron: 
IPV6, Adquirir tablets, Adquirir Scanner, Videoconferencia Adquirir cámaras para videoconferencia en las salas de reuniones (4 cámaras), Software para gestionar el versionamiento del código de Power Builder - Software Collabnet SVN Edge Premium (Subversion), Licenciamiento Normograma, Nuevo licenciamiento y consultoría - SE Suite,  Renovación suscripiciones Liferay Adquisición licenciamiento para alta disponibilidad Liferay,  Instalación red WiFi en Laboratorios Invima - Sede del INS. Fase I.
Los soportes de la ejecución de estos elementos se encuentra en la Oficina de Tecnologías de la Información, algunos de estos elementos se incluirán en la planeación 2019 de acuerdo a la necesidad institucional</t>
    </r>
    <r>
      <rPr>
        <b/>
        <sz val="8"/>
        <rFont val="Arial"/>
        <family val="2"/>
      </rPr>
      <t xml:space="preserve">
14.15: </t>
    </r>
    <r>
      <rPr>
        <sz val="8"/>
        <rFont val="Arial"/>
        <family val="2"/>
      </rPr>
      <t>Con la implementación de este proyecto es posible el intercambio entre los sistemas de información interna y de interoperar con otras entidades que llevan al Instituto hacía una nueva infraestructura donde sea capaz de identificar los servicios que puede ofertar, cabe resaltar que pasar hacia un modelo de servicios implica ampliar la cobertura y ofrecimiento de servicios del proyecto Invima a un clic y pensar en integrar todas lo sistemas de información para que actúen como un todo, garantizando la optimización en tiempos de respuesta evitando la pérdida de oportunidad en los actos de índole sanitario que requiere ejecutar la entidad.</t>
    </r>
    <r>
      <rPr>
        <b/>
        <sz val="8"/>
        <rFont val="Arial"/>
        <family val="2"/>
      </rPr>
      <t xml:space="preserve">
14.16: </t>
    </r>
    <r>
      <rPr>
        <sz val="8"/>
        <rFont val="Arial"/>
        <family val="2"/>
      </rPr>
      <t xml:space="preserve">Este proyecto permitirá la  óptima consulta de la información  de los conceptos emitidos durante 22 años, por parte de los comisionados  de la Sala Especializada de Medicamentos y Productos Biológicos y por parte de los usuarios mediante el buscador de Invima a un clic.                                                                                                          </t>
    </r>
    <r>
      <rPr>
        <b/>
        <sz val="8"/>
        <rFont val="Arial"/>
        <family val="2"/>
      </rPr>
      <t xml:space="preserve">
14.17: </t>
    </r>
    <r>
      <rPr>
        <sz val="8"/>
        <rFont val="Arial"/>
        <family val="2"/>
      </rPr>
      <t>El proyecto “Sistema de Información para los Laboratorios del Invima - Fase II” fue desarrollado durante el año 2018, con el objetivo de realizar la implementación de la solución LIMS en los grupos de la Oficina de Laboratorios y Control de Calidad del Invima, el cual logrará  mejorar la operación de  las dependencias de la Oficina de laboratorios y Control de Calidad, gracias al uso adecuado que se de a la solución, se disminuyen los tiempos de entrega y minimizan errores por transcripción de datos porque se tendrá la operación de los 7 laboratorios automatizada y la lectura de mediciones de los diferentes equipos de los laboratorios integrada; facilita el control de calidad y desempeño, porque permite la generación de informes e indicadores en línea, y facilita la gestión porque  unifica y centraliza información administrativa y de recursos para todos los laboratorios</t>
    </r>
    <r>
      <rPr>
        <b/>
        <sz val="8"/>
        <rFont val="Arial"/>
        <family val="2"/>
      </rPr>
      <t xml:space="preserve">
14.18: </t>
    </r>
    <r>
      <rPr>
        <sz val="8"/>
        <rFont val="Arial"/>
        <family val="2"/>
      </rPr>
      <t>El proyecto implementó la solución tecnológica que permite diseñar, gestionar, documentar, medir, realizar seguimiento y establecer el mejoramiento, articulando la información referente sistema de gestión integrado del Invima el cual permite que la información de todo el sistema de gestión integrado sea de fácil manejo y acceso por los funcionarios del Instituto y adicionalmente los seguimientos sean en línea y oportunos. Al cierre del proyecto se encuentra en proceso de despliegue de la infraestructura tecnológica.</t>
    </r>
    <r>
      <rPr>
        <b/>
        <sz val="8"/>
        <rFont val="Arial"/>
        <family val="2"/>
      </rPr>
      <t xml:space="preserve">
14.19: </t>
    </r>
    <r>
      <rPr>
        <sz val="8"/>
        <rFont val="Arial"/>
        <family val="2"/>
      </rPr>
      <t xml:space="preserve">El proyectó no se ejecutó en su totalidad debido a que no se aprobó la compra de la herramienta en el comité de contratación la evidencia se encuentra en el acta No. 273 del 15 de noviembre de 2018. </t>
    </r>
    <r>
      <rPr>
        <b/>
        <sz val="8"/>
        <rFont val="Arial"/>
        <family val="2"/>
      </rPr>
      <t xml:space="preserve">
14.20: </t>
    </r>
    <r>
      <rPr>
        <sz val="8"/>
        <rFont val="Arial"/>
        <family val="2"/>
      </rPr>
      <t>Este proyecto no se pudo cumplir debido a que los recursos técnicos (ingenieros) se incluyeron en otros proyectos "capturador IVC de alimentos" no se cumplió con el cronograma, por lo cual se deben incluir las actividades faltantes  a la nueva plataforma estrategica del Instituto.</t>
    </r>
    <r>
      <rPr>
        <b/>
        <sz val="8"/>
        <rFont val="Arial"/>
        <family val="2"/>
      </rPr>
      <t xml:space="preserve">
14.21: </t>
    </r>
    <r>
      <rPr>
        <sz val="8"/>
        <rFont val="Arial"/>
        <family val="2"/>
      </rPr>
      <t xml:space="preserve"> Se alcanzó el 80% de levantamiento de información, se estructuró el modelo de datos relacionado a la funcionalidad. No se presentó avance adiconal ya que no se contó con las contrataciones internas  por parte de Alizan Global para la culminación del mismo. Este proyecto se contemplará en la planeación de 2019.</t>
    </r>
    <r>
      <rPr>
        <b/>
        <sz val="8"/>
        <rFont val="Arial"/>
        <family val="2"/>
      </rPr>
      <t xml:space="preserve">
14.22: </t>
    </r>
    <r>
      <rPr>
        <sz val="8"/>
        <rFont val="Arial"/>
        <family val="2"/>
      </rPr>
      <t xml:space="preserve">El proyecto no cuenta con avance para la cuarta tutoría debido a cambios administrativos de gerentes lo cual no brindó la posibilidad de finalizarlo, por lo cual se determina que se realizarán las pruebas funcionales y se pondrá en funcionamiento en la vigencia 2019, </t>
    </r>
    <r>
      <rPr>
        <b/>
        <sz val="8"/>
        <rFont val="Arial"/>
        <family val="2"/>
      </rPr>
      <t xml:space="preserve">
14.23: </t>
    </r>
    <r>
      <rPr>
        <sz val="8"/>
        <rFont val="Arial"/>
        <family val="2"/>
      </rPr>
      <t>Ëste proyecto contrató los servicios para el desarrollo e implementación de una solución informática que permite el reporte periódico de información de los establecimientos vigilados; para ejercer una vigilancia sanitaria preventiva y eficaz, contando con información relevante de los establecimientos.</t>
    </r>
    <r>
      <rPr>
        <b/>
        <sz val="8"/>
        <rFont val="Arial"/>
        <family val="2"/>
      </rPr>
      <t xml:space="preserve">
14.2</t>
    </r>
    <r>
      <rPr>
        <sz val="8"/>
        <rFont val="Arial"/>
        <family val="2"/>
      </rPr>
      <t>4: Se realizó el avance del proyecto para las actividades 2018, (por lo que se debió omitir del Project las actividades de los demás años para obtener el avance del año 2018) el cual alcanza un 46% de ejecución. Esté proyecto se formuló para ser ejecutado hasta el 2021 y de acuerdo a la planeación del nuevo cuatrienio es necesario que las actividades de los años que superan la planeación 2014-2018 sean incluidos en la nueva estructura estratégica. 
Las actividades que no superaron la vigencia 2018 deberán ser incluidas en la formulación del proyecto mediante control de cambios ya que esté fue incluido para la planeación estratégica 2018-2022</t>
    </r>
  </si>
  <si>
    <r>
      <t xml:space="preserve">18.4: </t>
    </r>
    <r>
      <rPr>
        <sz val="8"/>
        <rFont val="Arial"/>
        <family val="2"/>
      </rPr>
      <t xml:space="preserve">Se da cierre al Proyecto una vez realizado el seguimiento a las acividades programadas las cuales se encuentran con un cumplimiento de ejecución de 100%. 
Se evidencia informe ejecutivo del impacto del Observatorio.
Se revisó el cumplimiento de los indicadores propuestos para el proyecto los cuales se relacionan a continuación  con su link respectivo para consulta: 
1-Sanciones sanitarias y penales ejemplares emitidas sobre actos de ilegalidad, contrabando y corrupción analizados:       https://app.invima.gov.co/observatorio/procesos_sancionatorios 
2-Acciones preventivas o correctivas emitidas a quienes publicitan o comercializan incumpliendo la normatividad sanitaria: https://app.invima.gov.co/observatorio/infografias, https://app.invima.gov.co/observatorio/top_productos_fraudulentos 
3-Medicamentos que entran al país de contrabando, falsificados, adulterados, cuantificación económica de los mismos y su impacto en la salud pública de la población: https://app.invima.gov.co/observatorio/casos_exito  </t>
    </r>
  </si>
  <si>
    <t>10.21 Articulación, fortalecimiento y apoyo a actividades relacionadas  con alimentos y bebidas en el marco del postconflicto</t>
  </si>
  <si>
    <t>Diseñar y desarrollar estrategias de intervención que nos permitan la articulación, fortalecimiento y apoyo a actividades de carácter sanitario relacionadas con  alimentos en el marco del postconflicto</t>
  </si>
  <si>
    <t xml:space="preserve">Consolidar y unificar el sistema nacional de control para inocuidad de alimentos para consumo nacional con el fin de
Apoyar los procesos de exportación bajo un enfoque de riesgo
</t>
  </si>
  <si>
    <t>14.12 Planeación y programación  para la ejecución  de la  inspección, vigilancia y control en los papf y GTT´s</t>
  </si>
  <si>
    <t>14.16 Procesamiento  de  actas históricas de la sala especializada de medicamentos y productos biológicos</t>
  </si>
  <si>
    <t>15.5 Implementación modelo de gestión de servicios de tecnologías de la información para el invima, basados en las mejores prácticas itil v 3.0 y el marco de referencia de arquitectura empresarial de TI</t>
  </si>
  <si>
    <t>15.6 Establecimiento del modelo integral de gestión de información que consolide los gobiernos de datos, seguridad de la información, continuidad del negocio y administración documental en el invima, acorde a las buenas practicas del mercado y las directrices de gobierno digital</t>
  </si>
  <si>
    <t>10.22 Estrategia integral cadena cárnica</t>
  </si>
  <si>
    <t>11.5 Estrategia para el apoyo a la industria colombiana en el acceso sanitario y aprovechamiento de mercados internacionales en alimentos 2018</t>
  </si>
  <si>
    <r>
      <rPr>
        <b/>
        <sz val="8"/>
        <rFont val="Arial"/>
        <family val="2"/>
      </rPr>
      <t xml:space="preserve">2.6:  </t>
    </r>
    <r>
      <rPr>
        <sz val="8"/>
        <rFont val="Arial"/>
        <family val="2"/>
      </rPr>
      <t xml:space="preserve">El documento se ha complementado con testimonios y experiencias tanto de funcionarios como de aliados nacionales e internacionales, evaluando cualitativamente el efecto que ha tenido la cooperación y el relacionamiento internacional sobre el fortalecimiento de las capacidades del INVIMA.
* Así mismo se han generado conclusiones y recomendaciones que surgen a partir de los análisis (cuantitativo y cualitativo), y que están orientadas a que el Invima continúe ejerciendo eficazmente acciones de cooperación que lo fortalezcan científica y técnicamente.
</t>
    </r>
  </si>
  <si>
    <r>
      <t xml:space="preserve">6.4: </t>
    </r>
    <r>
      <rPr>
        <sz val="8"/>
        <rFont val="Arial"/>
        <family val="2"/>
      </rPr>
      <t>Se realizó el informe final, y se hizo la  revisión por parte del grupo unidad de riesgo.
Presentar y publicar informes de resultados: Se envio correo a la Unidad de Riesgos el 3 de agosto de 2018 con los ajustes requeridos, se espera la decision  de publicación por parte de la Dirección General.
Es importante mencionar que estas actividades presentan un incumplimiento que execeden mas de cinco meses  lo cual afecta las  actividades, se recomienda citar a un comite tripartita para tomar la desición de cerrar este proyecto, sin importar la no publicación en pagina web  del informe ya se realizó.</t>
    </r>
    <r>
      <rPr>
        <b/>
        <sz val="8"/>
        <rFont val="Arial"/>
        <family val="2"/>
      </rPr>
      <t xml:space="preserve">
6.6: </t>
    </r>
    <r>
      <rPr>
        <sz val="8"/>
        <rFont val="Arial"/>
        <family val="2"/>
      </rPr>
      <t>En en desarrollo de esta fase se evidencia la ejecución de las siguientes actividades:
• Toma de muestras por los GTT del Invima, se han tomado 100 muestras de 100 programadas.
• Análisis de laboratorio Invima, se a analizaron a la a la fecha las 100 muestras.
• Revisión de resultados de acuerdo con la normatividad vigente, se han analizado a la fecha la totalidada de las muestras.
No se presenta contratiempos en el cumplimiento del cronograma, sin embargo se recomienda citar a un comite tripartita para tomar la desición de la viavilidad de eliminar las actividades relacionadas con la publicación y socialización de los informes de este proyecto.</t>
    </r>
    <r>
      <rPr>
        <b/>
        <sz val="8"/>
        <rFont val="Arial"/>
        <family val="2"/>
      </rPr>
      <t xml:space="preserve">
6.7: </t>
    </r>
    <r>
      <rPr>
        <sz val="8"/>
        <rFont val="Arial"/>
        <family val="2"/>
      </rPr>
      <t xml:space="preserve">Fase planeación: En el desarrollo de esta fase se evidencia la ejecución de las siguientes actividades:
*Realizar la priorización y concertación de los planes de muestreo, esta actividad se surtio mediante reunión con Dirección General, en la cual se concertaron 220 muestras.,*Elaboración de documento tecnico plan de muestreo, *Revisión de documento tecnico por parte de la Unidad de riesgo y ajustes en caso de requerirse, *Elaborar y radicar estudios previos para contratación de insumos, servicios de analisis y transporte de muestras, se soporta con los contratos suscritos en meses anteriores por el Invima , y para el caso de analisis de muestra se suscribe el contrato 490 de 2018, y*Contratación de laboratorio tercerizado.
Fase ejecución:  Se evidencia la ejecución de las siguientes actividades:
• Toma de muestras por parte de las ETS, se tomaron 220  muestras, • Análisis de laboratorio Invima, se analizó lo programado. </t>
    </r>
  </si>
  <si>
    <r>
      <rPr>
        <b/>
        <sz val="8"/>
        <rFont val="Arial"/>
        <family val="2"/>
      </rPr>
      <t xml:space="preserve">8.1: </t>
    </r>
    <r>
      <rPr>
        <sz val="8"/>
        <rFont val="Arial"/>
        <family val="2"/>
      </rPr>
      <t>Se llevó a cabo el quinto encuentro nacional de Farmacovigilancia sobre Uso seguro de medicamentos  "De la teoría a la práctica institucional" durante los días 19 y 20 de Noviembre de 2018 que contó con la participación de expertos internacionales y nacionales frente al tema.
Además en este encuentro participaron actores involucrados con la Farmacovigilancia en Colombia: Instituciones Prestadoras de Servicios de Salud, Secretarias de Salud Departamentales, Distritales y Municipales del País, Representación de la academia, Industria farmacéutica, Operadores logísticos y personas independientes..</t>
    </r>
  </si>
  <si>
    <r>
      <t xml:space="preserve">11.5: </t>
    </r>
    <r>
      <rPr>
        <sz val="8"/>
        <rFont val="Arial"/>
        <family val="2"/>
      </rPr>
      <t>Se llevó la aplicación de encuentas de percepción sobre la gestión del Invima en asutos de admisibilidad sanitaria.
Información de mercados abiertos (57) según el producto con trazabilidad correspondiente (paises, requisitos, certificados acordados, plantas autorizadas).
Documento con los resultados y acciones de gestion de  de acceso sanitario y aprovechamiento de mercados internacionales mediante la estrategia de acceso a mercados internacionales del Invima.</t>
    </r>
    <r>
      <rPr>
        <b/>
        <sz val="8"/>
        <rFont val="Arial"/>
        <family val="2"/>
      </rPr>
      <t xml:space="preserve">
11.6:</t>
    </r>
    <r>
      <rPr>
        <sz val="8"/>
        <rFont val="Arial"/>
        <family val="2"/>
      </rPr>
      <t>Documento con la consolidación de los mecanismos en implementación o negociación para la agilización o reconocimiento de registros con autoridades sanitarias en terceros países, evaluación del aporte de los mecanismos implementados a la facilitación de acceso a mercados internacionales para el sector de medicamentos y las exportaciones y recomendaciones y propuestas de priorización de mercados y acciones gobierno - sector privado para la facilitación del acceso a mercados internacionales del sector medicamentos 2018- 2022.</t>
    </r>
    <r>
      <rPr>
        <b/>
        <sz val="8"/>
        <rFont val="Arial"/>
        <family val="2"/>
      </rPr>
      <t xml:space="preserve">
11,.7: </t>
    </r>
    <r>
      <rPr>
        <sz val="8"/>
        <rFont val="Arial"/>
        <family val="2"/>
      </rPr>
      <t>Las plantas de beneficio que hacen parte de este proyecto, realizan diariamente Inspección de antmortem y postmortem soportadas en los registros de los equipos de inspección en cada una de las plantas de beneficio animal.
Se realizó la verificación de los puntos criticos de control establecidos en el plan HACCP en Red Cárnica, Rio Frio Y Frigosinú.
Dentro de las actividades se realizó el apoyo médico veterinario en la inspección oficial en plantas de beneficio tipo exportación (I) bovinas por parte de la Dirección de Operaciones sanitarias y de la Dirección de Alimentos y Bebidas.
Se ha realizado la inspección de producto en desposte como una actividad constante durante el proceso de inspección en plantas de beneficio.
Se realizaron 4 informes: uno para la planta de beneficio de Red Carnica, uno para la planta de Beneficio animal de  Frigo Sinú y 2 para la Planta de Beneficio animal de Rio Frio.
La contratación de los servicios de insumos, transporte y análisis de muestras continúa en el 70% de su desarrollo toda vez que falta el complemento de la parte de Fonade. De 1395 muestras, 2914 se tomaron y enviaron al laboratorio Invima, las 1084 restantes no se realizaron por falta de transporte.
El proyecto queda en estado crítico debido a que no se ha contratado consultores y no se han podido desarrollar actividades dispuestas para ellos y que afectan el desarrollo del proceso.</t>
    </r>
  </si>
  <si>
    <r>
      <t xml:space="preserve">13.8: </t>
    </r>
    <r>
      <rPr>
        <sz val="8"/>
        <rFont val="Arial"/>
        <family val="2"/>
      </rPr>
      <t>El proyecto de digitalizacion de los procesos sancionatorios en la vigencia 2018 logró digitalizar un total de 2,584 Documentos. Actualmente los GTTs  estan digitalizacion directamente en el aplicativo  los procesos sancionarios  que van ingresando en cada Grupo de Trabajo.</t>
    </r>
    <r>
      <rPr>
        <b/>
        <sz val="8"/>
        <rFont val="Arial"/>
        <family val="2"/>
      </rPr>
      <t xml:space="preserve">
13.14: </t>
    </r>
    <r>
      <rPr>
        <sz val="8"/>
        <rFont val="Arial"/>
        <family val="2"/>
      </rPr>
      <t xml:space="preserve">El proyecto presentó un retraso del 13% en las siguientes actividades: 
1. Adquisición, instalación, mantenimiento del cableado estructurado y eléctrico de los puestos de trabajo, cuartos técnicos y datacenter de las sedes del Invima.
2. Adquisición de la fase IV del control de acceso a las dependencias del Invima a nivel nacional que se ejecutaban en las fases II, III y IV.
De acuerdo al cronograma establecido en la hoja de vida del proyecto las actividades anteriormente descritas se encontraban dentro de las fechas propuestas, dando cumplimiento a las fases de estudios previos, publicación de procesos, expedición de los respectivos CDP y colgados en el SECOP II respectivamente, sin embargo la entidad no aperturó los procesos debido a que el plazo de ejecución de los contratos estaba muy ajustado para el cierre presupuestal por ende no se expidió resolución de apertura de dichos procesos contractuales.
De acuerdo a lo anterior se concluye que el proyecto cerró en estado crítico toda vez que las actividades no se cumplieron en su totalidad en las fases III y IV al no presentar avance acorde a lo programado. </t>
    </r>
  </si>
  <si>
    <r>
      <t xml:space="preserve">15.5: </t>
    </r>
    <r>
      <rPr>
        <sz val="8"/>
        <rFont val="Arial"/>
        <family val="2"/>
      </rPr>
      <t>En la fase de desarrollo  se llevó a cabo la definicion detallada de recursos, entregables y personal del proyecto: Se identificó el recurso humano que apoya el desarrollo y ejecución del proyecto en el cronograma de trabajo y actas de reunión. 
El proveedor entregó el documento e informe del análisis de los procesos actuales de mesa de ayuda, su nivel de madurez, estado de parametrización en la herramienta y el resultado de las entrevistas realizadas al personal de TI y dos usuarios del instituto relacionados con la gestión del servicio de la mesa de ayuda 
Se implementaron 10 procedimientos para los servicios de tecnologías de la información:
1. Generación de la estrategia.
2. Gestión del Catálogo de Servicios de Tecnología
3. Gestión del Nivel de Servicio
4. Gestión del Cambio
5. Gestión de la configuración y activos del servicio.
6. Gestión de versiones y despliegues.
7. Gestión de Incidentes.
8. Gestión de Problemas.
9. Gestión de Eventos
10. Gestión de Requerimientos
Se configuró en la herramienta ARANDA los procesos definidos y aplicables para la atención a los usuarios del Invima, entre los que se encuentran:
Requerimientos de servicio
Reportes de incidentes 
Notificación de eventos 
Gestión de cambios de servicios.
Se desarrolló transferencia de conocimeintos conceptuales a la Oficina de Tecnologías de la Información y Grupo de Soporte Tecnológico con una duración de 12 horas para aproximadamente 25 personas, de igual forma se desarrollo transferencia de conocimiento al personal táctico y coordinadores del instituto incluyendo los facilitadores de calidad con duración aproximada de 8 horas y 50 asistentes y finalmente a los directivos del Invima con duración de 2 horas para 10 personas. 
Modelar e Implementar las buenas prácticas de ITIL, y el marco de referencia de Arquitectura Empresarial para la Gestión de TI asociados con la prestación de servicios de TI que permita establecer un modelo de gestión que soporte la definición, manejo y mantenimiento de los dichos servicios en el Invima.</t>
    </r>
    <r>
      <rPr>
        <b/>
        <sz val="8"/>
        <rFont val="Arial"/>
        <family val="2"/>
      </rPr>
      <t xml:space="preserve">
15.7: </t>
    </r>
    <r>
      <rPr>
        <sz val="8"/>
        <rFont val="Arial"/>
        <family val="2"/>
      </rPr>
      <t>Se realizó el estudio del estado actual del intercambio de información con otras entidades, detallando claramente cuáles son las falencias respecto al estándar de interoperabilidad de GEL, el cual arrojó una evaluación de acuerdo al modelo de MinTic. Se realizó documento donde se encuentran el levantamiento de los servicios web que se requiere implementar de forma priorizada. 
La plataforma de software  para el despliegue de los servicios ya se encuentra implementada al 100% (maquinas virtuales de centro de datos del Invima) se  encuentra 100%. Se encuentra documentado el modelo de interoperabilidad y dos procedimientos 1. Desarrollo de servicios web tanto al interior como al exterior de la Entidad y 2. realizar la construcción de los servicios web, los cuales se encuentra en revisión para publicación en el mapa de procesos. 
Se realizó levantamiento de información e implementación  del software base de denominado "open shift" en donde se realizará el despliegue de los servicios  web identificados (gestión documental, radicado únicos, maestros, establecimientos, tarifas, etc).
Se elaboró documento donde se identifican 12 servicios web necesarios para el funcionamiento de los diferentes proyectos definidos de acuerdo al plan estratégico de la OTI. 
Se elabora documento con el método con el cual se realiza la priorización de servicios para construcción de microservicios. 
De acuerdo al modelo y a los procedimientos establecidos anteriormente se formaliza un formato denominado "Canvas" en donde se define lo relacionado con el servicio web a implementar, siendo una herramienta que deberá ser usada por los desarrolladores para los m icroservicios a implementar; se encuentran documentados todos los microservicios base en la herramienta "Canvas".
Se establece documento donde se encuentra planteada la arquitectura de software la cual va a trabajar la Entidad, éste es utilizado internamente por el Grupo de Informática para los desarrollos de servicios web. 
Se encuentran desarrollados los 16 servicios identificados y priorizados, actualmente se encuentra el proyecto en el proceso de pruebas de interoperabilidad con los proyectos que utilizan estos servicios en especial captura de IVC, TRAZA y SILAB, para lo cual se están adelantando ajustes de acuerdo a las necesidades puntuales.  Los servicios identificados y priorizados a la fecha, son:
* Registros Sanitarios* Maestros - división política * Maestros - gestionar dependencias* Maestros - Gestionar establecimientos* Maestros - gestionar producto* Gestión número radicado
* Gestión documento Se Suite* Maestro gestión documental (Metadatos)* Maestro gestionar división geográfica* Maestro gestionar personas Invima a un Clic* Maestro gestionar listas de referencia* Maestro gestionar tarifas* Consulta radicado* Min CIT - VUCE* Interfas toma de muestras* Maestros gestionar Sistema de Gestion de Calidad SGC.
El  proyecto entrega un modelo que detalla los lineamientos para  realizar el intercambio de información entre el Invima y las entidades que lo requieran,  haciendo uso de las mejores prácticas en el diseño y construcción de estos servicios basados en estándares reconocidos. Los servicios permiten consultar a través de un catálogo para su uso al interior de la entidad en los diferentes proyectos, los servicios implemnetados están dispuestos en la nube computacional de la entidad con salida a internet para ser utilizados por entes externos.</t>
    </r>
    <r>
      <rPr>
        <b/>
        <sz val="8"/>
        <rFont val="Arial"/>
        <family val="2"/>
      </rPr>
      <t xml:space="preserve">
</t>
    </r>
  </si>
  <si>
    <r>
      <t xml:space="preserve">1.21: </t>
    </r>
    <r>
      <rPr>
        <sz val="8"/>
        <rFont val="Arial"/>
        <family val="2"/>
      </rPr>
      <t>En la realización de IV tutoria se envidencia que el cuarto trimestre se elaboraron los siguiente mensajes institucionales asi: Facebook: 1095 y en Twitteer : 1,254 para un total en la vigencia 2018 de : Facebook: 4,176 y en Twitteer: 5,199. piezas Audiovisuales se realizaron de octubre a Diciembre las siguientes: Rendición de Cuestas: 7 Videos, Publicaciones e Twitteer: 16 piezas,
En relación a campañas que se realizaron en el último Trimestre estan: Campaña no traguen entero relacionadas con carnes, Un video de farmacovigilancia del Encuentro No 42.</t>
    </r>
    <r>
      <rPr>
        <b/>
        <sz val="8"/>
        <rFont val="Arial"/>
        <family val="2"/>
      </rPr>
      <t xml:space="preserve">
1.22: </t>
    </r>
    <r>
      <rPr>
        <sz val="8"/>
        <rFont val="Arial"/>
        <family val="2"/>
      </rPr>
      <t xml:space="preserve">En la vigencia 2018 a través de  los funcionarios del Grupo de Apoyo Jurídico Institucional se llevaron a cabo ocho (8) conversatorios, así: 
* Medellín el 25 de Mayo de 2018; * Bucaramanga el 25 de Mayo de 2018; * Neiva el 31 de Mayo de 2018;* Montería el 12 de Junio de 2018;* Armenia el 22 de Junio de 2018; * Pasto el 16 de Julio de 2018; * Barranquilla el 31 de Octubre de 2018;  y * Cali el 2 de Noviembre de 2018.
Se logró difundir información relacionada con el Instituto en cuanto a su naturaleza, principios fundamentales, gestión de la vigilancia sanitaria, estrategia de vigilancia sanitaria, modelo de vigilancia sanitaria, competencias del INVIMA; mediante la definición de agenda sanitaria se socializaron los siguientes temas: Notificación Actas de Visita, Clandestinidad e ilegalidad, Competencias Invima-Sic publicidad y Competencias IVC Invima - Secretarias de Salud. 
En los conversatorios realizados se conto con  la participación de 156 funcionarios y se entregaron 45 encuestas de evaluación diligenciadas. </t>
    </r>
    <r>
      <rPr>
        <b/>
        <sz val="8"/>
        <rFont val="Arial"/>
        <family val="2"/>
      </rPr>
      <t xml:space="preserve">
1.23: </t>
    </r>
    <r>
      <rPr>
        <sz val="8"/>
        <rFont val="Arial"/>
        <family val="2"/>
      </rPr>
      <t>Dentro de los colectivos realizados en la vigencia 2018 se realizo dos encuentros descriminados así:
Primer encuentro se enviaron un total de 130 invitaciones a los  abogados de los cuales solo asistieron  50, en el segundo encuentre enviaron un total 139 invitaciones de los cuales solo asistieron 34 abogados.
En dichos encuentros se trataron los siguientes temas: Sancionatorio procesal administrativo, Articulación conceptos sobre la aplicación del art 52 de la ley 1437 de 2011,  Marcas, protección de datos y argumentación jurídica, Contratación y Temas relacionados con reformas en temas de salud entre otros.</t>
    </r>
    <r>
      <rPr>
        <b/>
        <sz val="8"/>
        <rFont val="Arial"/>
        <family val="2"/>
      </rPr>
      <t xml:space="preserve">
1.24: </t>
    </r>
    <r>
      <rPr>
        <sz val="8"/>
        <rFont val="Arial"/>
        <family val="2"/>
      </rPr>
      <t>Durante este año se realizaron tres foros de actualización normativa, el PRIMER FORO se desarrolló en el mes de junio, resaltando las disposiciones que mencionan los procedimientos que la Dirección de Dispositivos Médicos y Otras Tecnologías deberá implementar con la expedición de la  Resolución 5491 del 29 de Diciembre de 2017 y  la  Resolución 481 del 22 de febrero de 2018 Se socializó las disposiciones que la Dirección de Medicamentos y  Productos Biológicos debe implementar con la expedición de los Decreto 386 del 23 de febrero de 2018  “y el Decreto 433 de fecha 5 de marzo de 2018 “Regulación de precios basada en valor fortalecimiento de la puerta de entrada de nuevas tecnologías” y  Decreto 710 de 2018 “ La evaluación del valor  terapéutico de medicamentos a cargo del IETS  no podrá ser condición para el otorgamiento del registro sanitario” .
EL SEGUNDO FORO se desarrolló en julio y se socializaron las siguientes normas expedidas Resolución 2438 del 12 de Junio de 2018 Y Resolución 1885 del 10 de mayo de 2018, adicionalmente también se socializó el Decreto 1036 de fecha 21 de Julio de 2018 .
Por último se realiza el  TERCER FORO en el mes de octubre del presente año mediante la cual se socializó con la Dirección de Medicamentos y Productos Biológicos la  Resolución No.  3157 del 26 de julio de 2018  y la Resolución 3311 de fecha 3 de agosto de 2018.</t>
    </r>
    <r>
      <rPr>
        <b/>
        <sz val="8"/>
        <rFont val="Arial"/>
        <family val="2"/>
      </rPr>
      <t xml:space="preserve">
1.26: </t>
    </r>
    <r>
      <rPr>
        <sz val="8"/>
        <rFont val="Arial"/>
        <family val="2"/>
      </rPr>
      <t>Se llevó a cabo la  realización de las actividades asociadas al proyecto en donde se gestionaron las siguientes capacitaciones:
En relación al proceso contractual con CES no se pudo llevar acabo el proceso contractual por inconvenientes asociados a los tiempos en su realización y dificultades relacionadas por el grupo contractual que tiene que ver a la forma de solicitar dicha capacitacion como contratación directa.
Se realiza una  capacitación  con la Universidad de Antioquia  dentro de la malla curricular  en forma virtual la cual fue dirigida a la Dirección de Operaciones Sanitarias y  la Dirección de Alimentos como ejes temáticos principales estaban encaminados a la  inspección de la Autoridad Sanitaria y en la cual participaron  un total  de 190 funcionarios del Instituto.
De otra parte, se realizó otra capacitación con la misma Universidad cuyo eje temático fue dirigido a Productos de Higiene Doméstico y productos absorbentes de higiene  Personal con una participación de 19 funcionarios.
Por último, se realizó una capacitación en forma vitrtual con la Universidad de Antioquia dirigida a la Dirección de Responsabilidad Sanitaria en Derecho Administrativo y en la cual participaron un total de 50 funcionarios.</t>
    </r>
    <r>
      <rPr>
        <b/>
        <sz val="8"/>
        <rFont val="Arial"/>
        <family val="2"/>
      </rPr>
      <t xml:space="preserve">
1.27: </t>
    </r>
    <r>
      <rPr>
        <sz val="8"/>
        <rFont val="Arial"/>
        <family val="2"/>
      </rPr>
      <t>De acuerdo al plan de trabajo  se desarrollaron  un total de 9 visitas distribuidas en ocho (8)  registratones  y una (1) capacitación en las ciudades de: Florencia, Pasto, Cali; Villavicencio, Eje Cafetero, Costa Caribe, Bucaramanga, Cauca y Bogotá. con un total de 268 personas capacitadas dando cumplimiento del 100% del proyecto propuesto para la vigencia 2018.</t>
    </r>
    <r>
      <rPr>
        <b/>
        <sz val="8"/>
        <rFont val="Arial"/>
        <family val="2"/>
      </rPr>
      <t xml:space="preserve">
1.28: </t>
    </r>
    <r>
      <rPr>
        <sz val="8"/>
        <rFont val="Arial"/>
        <family val="2"/>
      </rPr>
      <t>Se realizó la Reunión con la Universidad Nacional en donde se revisó  el Plan de Trabajo, pero no se llevó a cabo el convenio para la realización del proyecto debido a que gestión contractual no consideró prudente la realización del mismo, puesto que la justificación no fue la más adecuada, ya que otras Universidades podrian realizar dichas actividades del proyecto y los tiempos que se tenían a la fecha en parte contractual no daban para su realización.
 Se programara su ejecución en la vigencia 2019</t>
    </r>
  </si>
  <si>
    <r>
      <t xml:space="preserve">5.7 Verificación Oficial 2017
5.7.1, 5.7.2, </t>
    </r>
    <r>
      <rPr>
        <sz val="8"/>
        <rFont val="Arial"/>
        <family val="2"/>
      </rPr>
      <t xml:space="preserve"> </t>
    </r>
    <r>
      <rPr>
        <b/>
        <sz val="8"/>
        <rFont val="Arial"/>
        <family val="2"/>
      </rPr>
      <t xml:space="preserve">5.7.3, 5.7.4,  5.7.5: </t>
    </r>
    <r>
      <rPr>
        <sz val="8"/>
        <rFont val="Arial"/>
        <family val="2"/>
      </rPr>
      <t xml:space="preserve"> Los proyectos  presentan contratiempos en la fase de cierre, se recomienda citar a un comite tripartita para tomar la decisión de cerrarlos , sin importar la no publicación en pagina web,  el informe ya se realizó, no aplica control de cambio, porque las actividades ya se vencieron,.</t>
    </r>
    <r>
      <rPr>
        <b/>
        <sz val="8"/>
        <rFont val="Arial"/>
        <family val="2"/>
      </rPr>
      <t xml:space="preserve">
5.8 Monitoreo 2017
5.8.2:</t>
    </r>
    <r>
      <rPr>
        <sz val="8"/>
        <rFont val="Arial"/>
        <family val="2"/>
      </rPr>
      <t xml:space="preserve">El proyecto presenta una ejecución del 94%, esta ejecución se soporta con el desarrollo de la fase de ejecución y analisis en su totalidad, mediante la cual se elaboró el informe que consolida los  resultados obtenidos.
Se presentan contratiempos en la fase de cierre, proyecto en estado de critico, se recomienda citar a un comité tripartita para tomar la decisión de cerrar éste proyecto, sin importar la no publicación en pagina web del informe que ya se realizó, no aplica control de cambio, porque las actividades ya se vencieron.
</t>
    </r>
    <r>
      <rPr>
        <b/>
        <sz val="8"/>
        <rFont val="Arial"/>
        <family val="2"/>
      </rPr>
      <t xml:space="preserve">5.8.3: </t>
    </r>
    <r>
      <rPr>
        <sz val="8"/>
        <rFont val="Arial"/>
        <family val="2"/>
      </rPr>
      <t>Avance del 96%, esta pendiente de la decisión de la Dirección General de publicar o no el informe de resultados para dar terminación al mismo.
 Se presentan contratiempos en la fase de cierre, se recomienda citar a un comité tripartita para tomar la decisión de cerrar este proyecto, sin importar la no publicación en pagina web,  del informe que ya se realizo, no aplica control de cambio, porque las actividades ya se vencieron.</t>
    </r>
    <r>
      <rPr>
        <b/>
        <sz val="8"/>
        <rFont val="Arial"/>
        <family val="2"/>
      </rPr>
      <t xml:space="preserve">
5.8.4: </t>
    </r>
    <r>
      <rPr>
        <sz val="8"/>
        <rFont val="Arial"/>
        <family val="2"/>
      </rPr>
      <t>Presenta una ejecución del 94%, que  se soporta con el desarrollo de la fase de ejeucción y analisis en su totalidad, mediante la cual se elaboró el informe que consolida los  resultados obtenidos.
Se presentan contratiempos en la fase de cierre proyecto en estado de critico, se recomienda citar a un comite tripartita para tomar la decisión de cerrar este proyecto, sin importar la no publicación en pagina web del informe que ya se realizo, no aplica control de cambio, porque las actividades ya se vencieron.</t>
    </r>
    <r>
      <rPr>
        <b/>
        <sz val="8"/>
        <rFont val="Arial"/>
        <family val="2"/>
      </rPr>
      <t xml:space="preserve">
5.8.5: </t>
    </r>
    <r>
      <rPr>
        <sz val="8"/>
        <rFont val="Arial"/>
        <family val="2"/>
      </rPr>
      <t xml:space="preserve"> El proyecto presenta una ejecución del 94%, soportada con el desarrollo de la fase de ejeucción y analisis en su totalidad, mediante la cual se elaboró el informe que consolida los  resultados obtenidos, pemitiendo determinar mediante el sistema de vigilancia epidemiologica que Colombia es libre de Trichinella.
Se presentan contratiempos en la fase de cierre, se recomienda citar a un comite tripartita para tomar la decisión de cerrar este proyecto, sin importar la no publicación en pagina web,  del informe que ya se realizó, no aplica control de cambio, porque las actividades ya se vencieron.</t>
    </r>
    <r>
      <rPr>
        <b/>
        <sz val="8"/>
        <rFont val="Arial"/>
        <family val="2"/>
      </rPr>
      <t xml:space="preserve">
5.9 Verificación 2018
5.9.1:</t>
    </r>
    <r>
      <rPr>
        <sz val="8"/>
        <rFont val="Arial"/>
        <family val="2"/>
      </rPr>
      <t>Toma de muestras por las ETS,  se tienen programadas 50 muestras Invima de las cuales se ha tomado 34,  se ha  analizado por parte del Laboratorio la misma cantidad de muestras  y  se ha hecho la revisión  de igual número de muestras, estas actividades están desfasadas con la fecha establecida que era maximo al 14 de Diciembre, aplica la solicitud de control de cambio para ampliar la fecha de cumplimiento.</t>
    </r>
    <r>
      <rPr>
        <b/>
        <sz val="8"/>
        <rFont val="Arial"/>
        <family val="2"/>
      </rPr>
      <t xml:space="preserve">
5.9.2:</t>
    </r>
    <r>
      <rPr>
        <sz val="8"/>
        <rFont val="Arial"/>
        <family val="2"/>
      </rPr>
      <t>*Toma de muestras por los GTT del Invima, esta actividad tiene un avance del 100%, se tienen programadas 50 muestras Invima de las cuales se ha tomado 50.
*Analisis de laboratorio Invima, esta actividad tiene un avance del 100% ya que se an analizado  a la fecha el total de la muestras.
*Revisión de resultados de acuerdo con la normatividad vigente,esta actividad tiene un avance del 100% ya que se an analizado  a la fecha todos los analisis de muestras.
No se presentan contratiempos, el estado es bueno, se recomienda en reunión tripartita eliminar la fase de planeación 2019. INCLUIR TAMBIEN LO DE ACTIVIDADES DE PUBLICACIÓN DE INFORMES</t>
    </r>
    <r>
      <rPr>
        <b/>
        <sz val="8"/>
        <rFont val="Arial"/>
        <family val="2"/>
      </rPr>
      <t xml:space="preserve">
5.9.4: </t>
    </r>
    <r>
      <rPr>
        <sz val="8"/>
        <rFont val="Arial"/>
        <family val="2"/>
      </rPr>
      <t>*Toma de muestras por las ETS, se tienen programadas 80 muestras Invima de las cuales se ha tomado 34, la actividad esta desfasada con la fecha establecida que era maximo al 14 de Diciembre, 
*Analisis de laboratorio Invima, se han analizado 34, esta actividad esta desfasada con la fecha establecida que era maximo al 14 de Diciembre.
*Revisión de resultados de acuerdo con la normatividad vigente, se ha hecho la revisión de 34, esta actividad esta desfasada con la fecha establecida que era maximo al 14 de Diciembre.
Se presentan contratiempos, el estado es critico, se recomienda en reunión tripartita eliminar la fase de planeación 2019.</t>
    </r>
    <r>
      <rPr>
        <b/>
        <sz val="8"/>
        <rFont val="Arial"/>
        <family val="2"/>
      </rPr>
      <t xml:space="preserve">
5.9.5: </t>
    </r>
    <r>
      <rPr>
        <sz val="8"/>
        <rFont val="Arial"/>
        <family val="2"/>
      </rPr>
      <t>*Toma de muestras por las ETS,  se tienen programadas 80 muestras Invima de las cuales se ha tomado 42, esta actividad esta desfasada con la fecha establecida que era maximo al 14 de Diciembre, 
*Analisis de laboratorio Invimase han analizdo 42, esta actividad esta desfasada con la fecha establecida que era maximo al 14 de Diciembre.
*Revisión de resultados de acuerdo con la normatividad vigente, se han revisado 42, esta actividad esta desfasada con la fecha establecida que era maximo al 14 de Diciembre.
 Se presentan contratiempos, el estado es critico, se recomienda en reunión tripartita eliminar la fase de planeación 2019</t>
    </r>
    <r>
      <rPr>
        <b/>
        <sz val="8"/>
        <rFont val="Arial"/>
        <family val="2"/>
      </rPr>
      <t xml:space="preserve">
5.9.6: </t>
    </r>
    <r>
      <rPr>
        <sz val="8"/>
        <rFont val="Arial"/>
        <family val="2"/>
      </rPr>
      <t>*Toma de muestras por las ETS,se tienen programadas 80 muestras Invima de las cuales se tomaron 80.
*Analisis de laboratorio Invima, se han aanalizado  80 muestras.
*Revisión de resultados de acuerdo con la normatividad vigente, 100%.</t>
    </r>
    <r>
      <rPr>
        <b/>
        <sz val="8"/>
        <rFont val="Arial"/>
        <family val="2"/>
      </rPr>
      <t xml:space="preserve">
5.9.7: </t>
    </r>
    <r>
      <rPr>
        <sz val="8"/>
        <rFont val="Arial"/>
        <family val="2"/>
      </rPr>
      <t xml:space="preserve">*Toma de muestras por las ETS,  se tienen programadas 50 muestras Invima de las cuales se ha tomado 34, fecha máxima de ejecucion 14 de Diciembre, 
*Analisis de laboratorio Invima, se han analizado 34 muestras.
*Revisión de resultados de acuerdo con la normatividad vigente, se han revisado 34, </t>
    </r>
    <r>
      <rPr>
        <b/>
        <sz val="8"/>
        <rFont val="Arial"/>
        <family val="2"/>
      </rPr>
      <t xml:space="preserve">
5.10 Monitoreo_2018
5.10.1: </t>
    </r>
    <r>
      <rPr>
        <sz val="8"/>
        <rFont val="Arial"/>
        <family val="2"/>
      </rPr>
      <t>*Toma de muestras por los GTT del Invima , se tomaron cuatro  muestras, se soporta con matriz de consolidación de resultados de laboratorio.
*Analisis de laboratorio Invima , se analizaron cuatro  muestras, se soporta con matriz de consolidación de resultados de laboratorio.
*Revisión de resultados de acuerdo con la normatividad vigente, se revisaron cuatro  muestras, se soporta con matriz de consolidación de resultados de laboratorio, se obtivieron 2 resultados rechazados.</t>
    </r>
    <r>
      <rPr>
        <b/>
        <sz val="8"/>
        <rFont val="Arial"/>
        <family val="2"/>
      </rPr>
      <t xml:space="preserve">
5.10.2: </t>
    </r>
    <r>
      <rPr>
        <sz val="8"/>
        <rFont val="Arial"/>
        <family val="2"/>
      </rPr>
      <t>Las fasese de planeac ión y ejecución presentan ejecución en sus actividades de 100%.
No se presentan contratiempos, el estado es bueno, se recomienda en reunión tripartita eliminar la fase de planeación 2019.</t>
    </r>
  </si>
  <si>
    <r>
      <t xml:space="preserve">12,6: </t>
    </r>
    <r>
      <rPr>
        <sz val="8"/>
        <rFont val="Arial"/>
        <family val="2"/>
      </rPr>
      <t>Desarrollo de  las jornadas de normalización de cartera: En total se realizaron 6 jornadas de acuerdos de pago  en la vigencia 2018 . Teniendo en cuenta el éxito obtenido se formaliza una nueva activiadad en el  POA "Desarrollar jornadas de normalización de carteras a nivel nacional" con una meta estimada de 5 jornadas a realizar en la vigencia 2019.</t>
    </r>
    <r>
      <rPr>
        <b/>
        <sz val="8"/>
        <rFont val="Arial"/>
        <family val="2"/>
      </rPr>
      <t xml:space="preserve">
12.7: </t>
    </r>
    <r>
      <rPr>
        <sz val="8"/>
        <rFont val="Arial"/>
        <family val="2"/>
      </rPr>
      <t xml:space="preserve">Gestionar con entidades externas el desarrollo de actividades ambientales y transporte cuando se requiera: Se coordina con la Secretaria Distrital de Ambiente la actividad de sensibilización sobre cultura del Agua y se hace entrega a la Fundación Trevola de los CD´s generados en el Instituto para aprovechamiento.
Ejecución del cronograma de actividades de entrenamiento y sensibilización en las sedes del Invima: Se ejecuta la sensibilización en cultura del agua y cambio climático con la participación de 12 funcionarios de la Secretaria Distrital de Ambiente que atendieron todas las áreas del Invima en las sedes Bogotá.
Entrenamiento en la norma NCT ISO 14001:2015: Se realiza entrenamientos sobre el Sistema de Gestión Ambiental basado en la norma ISO 14001 a las sedes Puerto Barranquilla, Puerto Buenventura, Puerto Cartagena y Puerto Santa Marta. Y en las reuniones a los facilitadores de calidad del Sistema de Gestión Integrado del Invima
Desarrollo de evento que permita la sensibilización ambiental en las sedes del Invima Bogotá  (100%). Por falta de recurso no se logró la contratación de un servicio de obra de teatro, por tal razon se realizó la  "FERIA AMBIENTAL" en la cual se logó la participación de Parques Nacionales, quien expusó sus productos y servicios, y los servicios de los programas de cierra el ciclo. Durante este evento se obsequiaron tarjetas de los parques nacionales, y bolsas para reciclaje. </t>
    </r>
    <r>
      <rPr>
        <b/>
        <sz val="8"/>
        <rFont val="Arial"/>
        <family val="2"/>
      </rPr>
      <t xml:space="preserve">
12.8: </t>
    </r>
    <r>
      <rPr>
        <sz val="8"/>
        <rFont val="Arial"/>
        <family val="2"/>
      </rPr>
      <t xml:space="preserve">Para realizar la capacitación a funcionarios de los Grupos de Trabajo según las necesidades identificadas en la etapa de planeación el Director de Operaciones Sanitarias  remite correo electrónico el 25 de octubre de 2018, indicando los funcionarios  designados y fechas.  Dicha capacitación se realiza mediante teleconferencia.
La actividad desarrollar prueba piloto para la recepción de trámites en los grupos de trabajo territorial  se notifica  mediante correo electrónico de 3 del diciembre de 2018 indicando la fecha de inicio de la prueba  en: Respuestas a Autos, Anexos al expediente, Alcance al Radicado y solicitud de corrección.
Las encuestas de satisfacción se realizan en los formatos, se tabula la información y se publica en el indicador de AIC-AST-FM004 calificación del servicio prestado. </t>
    </r>
  </si>
  <si>
    <r>
      <t xml:space="preserve">17.3: </t>
    </r>
    <r>
      <rPr>
        <sz val="8"/>
        <rFont val="Arial"/>
        <family val="2"/>
      </rPr>
      <t>En referencia a las actividades en campo sobre los dispositivos se cuenta con el informe No. 16 Informe del montaje y resultados de los ensayos definitivos con dispositivos de macrogoteo y sondas de acuerdo con el diseño de experimentos – Ensayos sede del INVIMA-Bogotá, donde se indica el montaje de los equipos diseñados, las muestras que se evaluaron de cada dispositivo y los resultados obtenidos en el laboratorio del Invima. Adicionalmente los equipos fueron instalados, el personal del laboratorio fue entrenado y se entregaron los diseños, los manuales y los procedimientos del ensayo. Los equipos fueron entregados e instalados en las instalaciones del laboratorio Físico-Mecánico de Dispositivos Médicos. 
Como estudio de investigación de los dispositivos seleccionados se cuenta con el informe No. 18 Informe final sobre el Fortalecimiento del proceso de control de calidad de dispositivos médicos con enfoque de riesgo para dispositivos de macrogoteo y sondas.
Se han realizado las actas de trabajo para conocer los avances de la realización de las pruebas preliminares y las pruebas en el laboratorio en conjunto con la Universidad de Antioquia como se observa en las Actas No. 12, 13  y 14. Se culmino la etapa Verificación estadística  Equipos 2016-2017 con los informes 19 estudio de reproducibilidad en ensayo de halado para la evaluación de sondas urinarias tipo foley  e informe 20 analisis estadísticos del estudio de reproducibilidad en ensayo de halado para la evaluación de sondas urinarias tipo foley.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</si>
</sst>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8"/>
      <name val="Arial"/>
      <family val="2"/>
    </font>
    <font>
      <b/>
      <sz val="8"/>
      <name val="Arial"/>
      <family val="2"/>
    </font>
    <font>
      <sz val="8"/>
      <color indexed="8"/>
      <name val="Arial"/>
      <family val="2"/>
    </font>
    <font>
      <sz val="7"/>
      <name val="Arial"/>
      <family val="2"/>
    </font>
    <font>
      <sz val="11"/>
      <color theme="1"/>
      <name val="Calibri"/>
      <family val="2"/>
      <scheme val="minor"/>
    </font>
    <font>
      <b/>
      <sz val="8"/>
      <color theme="9"/>
      <name val="Arial"/>
      <family val="2"/>
    </font>
    <font>
      <sz val="8"/>
      <color rgb="FF000000"/>
      <name val="Arial"/>
      <family val="2"/>
    </font>
    <font>
      <sz val="8"/>
      <color theme="1"/>
      <name val="Arial"/>
      <family val="2"/>
    </font>
    <font>
      <b/>
      <sz val="10"/>
      <color theme="9"/>
      <name val="Arial"/>
      <family val="2"/>
    </font>
    <font>
      <b/>
      <sz val="7"/>
      <color theme="9"/>
      <name val="Arial"/>
      <family val="2"/>
    </font>
    <font>
      <sz val="7"/>
      <color theme="9"/>
      <name val="Arial"/>
      <family val="2"/>
    </font>
    <font>
      <sz val="7"/>
      <color theme="1"/>
      <name val="Arial"/>
      <family val="2"/>
    </font>
    <font>
      <b/>
      <sz val="16"/>
      <color theme="9"/>
      <name val="Arial"/>
      <family val="2"/>
    </font>
    <font>
      <b/>
      <sz val="14"/>
      <color theme="9"/>
      <name val="Arial"/>
      <family val="2"/>
    </font>
    <font>
      <sz val="8"/>
      <name val="Calibri"/>
      <family val="2"/>
    </font>
    <font>
      <b/>
      <sz val="8"/>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0F9FA"/>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5" fillId="0" borderId="0" applyFont="0" applyFill="0" applyBorder="0" applyAlignment="0" applyProtection="0"/>
  </cellStyleXfs>
  <cellXfs count="405">
    <xf numFmtId="0" fontId="0" fillId="0" borderId="0" xfId="0"/>
    <xf numFmtId="0" fontId="1" fillId="2" borderId="0" xfId="0" applyFont="1" applyFill="1" applyBorder="1" applyAlignment="1">
      <alignment horizontal="center" vertical="top"/>
    </xf>
    <xf numFmtId="0" fontId="1" fillId="2" borderId="1" xfId="0" applyFont="1" applyFill="1" applyBorder="1" applyAlignment="1">
      <alignment horizontal="left" vertical="top" wrapText="1"/>
    </xf>
    <xf numFmtId="0" fontId="1" fillId="0" borderId="0" xfId="0" applyFont="1" applyAlignment="1">
      <alignment horizontal="left" vertical="top"/>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wrapText="1"/>
    </xf>
    <xf numFmtId="0" fontId="7" fillId="2" borderId="1" xfId="0" applyFont="1" applyFill="1" applyBorder="1" applyAlignment="1">
      <alignment horizontal="left" vertical="center" wrapText="1"/>
    </xf>
    <xf numFmtId="0" fontId="1" fillId="2" borderId="1" xfId="0" applyFont="1" applyFill="1" applyBorder="1" applyAlignment="1">
      <alignment vertical="center" wrapText="1"/>
    </xf>
    <xf numFmtId="9" fontId="1" fillId="0" borderId="1" xfId="1" applyFont="1" applyFill="1" applyBorder="1" applyAlignment="1">
      <alignment vertical="top" wrapText="1"/>
    </xf>
    <xf numFmtId="0" fontId="7" fillId="0" borderId="1" xfId="0" applyFont="1" applyBorder="1" applyAlignment="1">
      <alignment wrapText="1"/>
    </xf>
    <xf numFmtId="0" fontId="7" fillId="0" borderId="1" xfId="0" applyFont="1" applyBorder="1" applyAlignment="1">
      <alignment vertical="center"/>
    </xf>
    <xf numFmtId="0" fontId="7" fillId="0" borderId="1" xfId="0" applyFont="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top" wrapText="1"/>
    </xf>
    <xf numFmtId="0" fontId="1" fillId="0" borderId="0" xfId="0" applyFont="1" applyFill="1" applyAlignment="1">
      <alignment vertical="top"/>
    </xf>
    <xf numFmtId="0" fontId="8" fillId="0" borderId="0" xfId="0" applyFont="1" applyFill="1" applyAlignment="1">
      <alignment vertical="top"/>
    </xf>
    <xf numFmtId="0" fontId="1" fillId="0" borderId="0" xfId="0" applyFont="1" applyFill="1" applyAlignment="1">
      <alignment horizontal="center" vertical="top"/>
    </xf>
    <xf numFmtId="9" fontId="1" fillId="0" borderId="0" xfId="1" applyFont="1" applyFill="1" applyAlignment="1">
      <alignment horizontal="center" vertical="top"/>
    </xf>
    <xf numFmtId="0" fontId="1" fillId="0" borderId="0" xfId="0" applyFont="1" applyFill="1" applyAlignment="1">
      <alignment horizontal="center" vertical="top" wrapText="1"/>
    </xf>
    <xf numFmtId="0" fontId="1" fillId="0" borderId="0" xfId="0" applyFont="1" applyAlignment="1">
      <alignment horizontal="center" vertical="top"/>
    </xf>
    <xf numFmtId="0" fontId="1" fillId="2" borderId="1" xfId="0" applyFont="1" applyFill="1" applyBorder="1" applyAlignment="1">
      <alignment horizontal="center" vertical="center" wrapText="1"/>
    </xf>
    <xf numFmtId="9" fontId="1" fillId="0" borderId="0" xfId="1" applyFont="1" applyFill="1" applyAlignment="1">
      <alignment horizontal="justify" vertical="top"/>
    </xf>
    <xf numFmtId="0" fontId="4" fillId="2" borderId="0" xfId="0" applyFont="1" applyFill="1" applyAlignment="1">
      <alignment horizontal="center" vertical="top"/>
    </xf>
    <xf numFmtId="0" fontId="9" fillId="0" borderId="0" xfId="0" applyFont="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 fontId="10" fillId="5"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 fontId="10" fillId="7" borderId="1" xfId="1" applyNumberFormat="1" applyFont="1" applyFill="1" applyBorder="1" applyAlignment="1">
      <alignment horizontal="center" vertical="center" wrapText="1"/>
    </xf>
    <xf numFmtId="1" fontId="10" fillId="8" borderId="1" xfId="1" applyNumberFormat="1"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1" fillId="0" borderId="0" xfId="0" applyFont="1" applyAlignment="1">
      <alignment horizontal="center" vertical="center"/>
    </xf>
    <xf numFmtId="0" fontId="4" fillId="2" borderId="2" xfId="0" applyFont="1" applyFill="1" applyBorder="1" applyAlignment="1">
      <alignment horizontal="left" vertical="top" wrapText="1"/>
    </xf>
    <xf numFmtId="9" fontId="4" fillId="2" borderId="2" xfId="1" applyNumberFormat="1" applyFont="1" applyFill="1" applyBorder="1" applyAlignment="1">
      <alignment horizontal="left" vertical="top"/>
    </xf>
    <xf numFmtId="0" fontId="4" fillId="0" borderId="0" xfId="0" applyFont="1" applyAlignment="1">
      <alignment horizontal="left" vertical="top"/>
    </xf>
    <xf numFmtId="0" fontId="4" fillId="2" borderId="1" xfId="0" applyFont="1" applyFill="1" applyBorder="1" applyAlignment="1">
      <alignment horizontal="left" vertical="top" wrapText="1"/>
    </xf>
    <xf numFmtId="9" fontId="4" fillId="2" borderId="1" xfId="1" applyNumberFormat="1" applyFont="1" applyFill="1" applyBorder="1" applyAlignment="1">
      <alignment horizontal="left" vertical="top"/>
    </xf>
    <xf numFmtId="0" fontId="4" fillId="2" borderId="1" xfId="0" applyFont="1" applyFill="1" applyBorder="1" applyAlignment="1">
      <alignment horizontal="left" vertical="top"/>
    </xf>
    <xf numFmtId="0" fontId="4" fillId="10" borderId="1" xfId="0" applyFont="1" applyFill="1" applyBorder="1" applyAlignment="1">
      <alignment horizontal="left" vertical="top" wrapText="1"/>
    </xf>
    <xf numFmtId="0" fontId="4" fillId="10"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0" xfId="0" applyFont="1" applyFill="1" applyAlignment="1">
      <alignment vertical="top"/>
    </xf>
    <xf numFmtId="0" fontId="12" fillId="0" borderId="0" xfId="0" applyFont="1" applyFill="1" applyAlignment="1">
      <alignment vertical="top"/>
    </xf>
    <xf numFmtId="0" fontId="4" fillId="0" borderId="0" xfId="0" applyFont="1" applyFill="1" applyAlignment="1">
      <alignment horizontal="center" vertical="top"/>
    </xf>
    <xf numFmtId="9" fontId="4" fillId="0" borderId="0" xfId="1" applyFont="1" applyFill="1" applyAlignment="1">
      <alignment horizontal="center" vertical="top"/>
    </xf>
    <xf numFmtId="0" fontId="4" fillId="0" borderId="0" xfId="0" applyFont="1" applyFill="1" applyAlignment="1">
      <alignment horizontal="center" vertical="top" wrapText="1"/>
    </xf>
    <xf numFmtId="0" fontId="4" fillId="0" borderId="0" xfId="0" applyFont="1" applyAlignment="1">
      <alignment horizontal="center" vertical="top"/>
    </xf>
    <xf numFmtId="0" fontId="1" fillId="2" borderId="0" xfId="0" applyFont="1" applyFill="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justify" vertical="center" wrapText="1"/>
    </xf>
    <xf numFmtId="0" fontId="1" fillId="2" borderId="1" xfId="0" applyFont="1" applyFill="1" applyBorder="1" applyAlignment="1">
      <alignment horizontal="justify" vertical="top" wrapText="1"/>
    </xf>
    <xf numFmtId="0" fontId="1" fillId="0" borderId="0" xfId="0" applyFont="1" applyAlignment="1">
      <alignment horizontal="justify" vertical="top"/>
    </xf>
    <xf numFmtId="0" fontId="1" fillId="2" borderId="1" xfId="0" applyFont="1" applyFill="1" applyBorder="1" applyAlignment="1">
      <alignment horizontal="justify" vertical="top"/>
    </xf>
    <xf numFmtId="0" fontId="13" fillId="2" borderId="0" xfId="0" applyFont="1" applyFill="1" applyBorder="1" applyAlignment="1">
      <alignment vertical="center" wrapText="1"/>
    </xf>
    <xf numFmtId="0" fontId="6" fillId="0" borderId="0" xfId="0" applyFont="1" applyBorder="1" applyAlignment="1">
      <alignment horizontal="center" vertical="center" wrapText="1"/>
    </xf>
    <xf numFmtId="9" fontId="1" fillId="2" borderId="1" xfId="1" applyNumberFormat="1" applyFont="1" applyFill="1" applyBorder="1" applyAlignment="1">
      <alignment horizontal="center" vertical="center"/>
    </xf>
    <xf numFmtId="9" fontId="1" fillId="0" borderId="1" xfId="1" applyFont="1" applyFill="1" applyBorder="1" applyAlignment="1">
      <alignment horizontal="justify" vertical="top" wrapText="1"/>
    </xf>
    <xf numFmtId="9" fontId="1" fillId="0" borderId="1" xfId="1" applyFont="1" applyFill="1" applyBorder="1" applyAlignment="1">
      <alignment horizontal="left" vertical="top" wrapText="1"/>
    </xf>
    <xf numFmtId="0" fontId="1" fillId="10" borderId="1" xfId="0" applyFont="1" applyFill="1" applyBorder="1" applyAlignment="1">
      <alignment horizontal="left" vertical="top" wrapText="1"/>
    </xf>
    <xf numFmtId="9"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9" fontId="4" fillId="0" borderId="1" xfId="1" applyFont="1" applyFill="1" applyBorder="1" applyAlignment="1">
      <alignment horizontal="left" vertical="top" wrapText="1"/>
    </xf>
    <xf numFmtId="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4" fillId="2" borderId="1" xfId="0" applyFont="1" applyFill="1" applyBorder="1" applyAlignment="1">
      <alignment horizontal="left" vertical="top" wrapText="1"/>
    </xf>
    <xf numFmtId="9" fontId="4" fillId="2" borderId="1" xfId="1" applyNumberFormat="1" applyFont="1" applyFill="1" applyBorder="1" applyAlignment="1">
      <alignment horizontal="left" vertical="top"/>
    </xf>
    <xf numFmtId="0" fontId="4" fillId="10" borderId="3" xfId="0" applyFont="1" applyFill="1" applyBorder="1" applyAlignment="1">
      <alignment horizontal="left" vertical="top" wrapText="1"/>
    </xf>
    <xf numFmtId="0" fontId="1" fillId="10" borderId="1" xfId="0" applyFont="1" applyFill="1" applyBorder="1" applyAlignment="1">
      <alignment horizontal="left" vertical="top" wrapText="1"/>
    </xf>
    <xf numFmtId="0" fontId="7" fillId="0" borderId="1" xfId="0" applyFont="1" applyBorder="1" applyAlignment="1">
      <alignment horizontal="left" vertical="center" wrapText="1"/>
    </xf>
    <xf numFmtId="0" fontId="1" fillId="0" borderId="1" xfId="0" applyFont="1" applyBorder="1" applyAlignment="1">
      <alignment horizontal="left" vertical="top" wrapText="1"/>
    </xf>
    <xf numFmtId="9" fontId="1" fillId="2" borderId="1" xfId="0" applyNumberFormat="1" applyFont="1" applyFill="1" applyBorder="1" applyAlignment="1">
      <alignment horizontal="left" vertical="top" wrapText="1"/>
    </xf>
    <xf numFmtId="9" fontId="2" fillId="0" borderId="1" xfId="1" applyFont="1" applyFill="1" applyBorder="1" applyAlignment="1">
      <alignment horizontal="left" vertical="top" wrapText="1"/>
    </xf>
    <xf numFmtId="0" fontId="1" fillId="10" borderId="6" xfId="0" applyFont="1" applyFill="1" applyBorder="1" applyAlignment="1">
      <alignment horizontal="left" vertical="top"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 fillId="12" borderId="6" xfId="0" applyFont="1" applyFill="1" applyBorder="1" applyAlignment="1">
      <alignment horizontal="left" vertical="top" wrapText="1"/>
    </xf>
    <xf numFmtId="9" fontId="4" fillId="2" borderId="3" xfId="1" applyNumberFormat="1" applyFont="1" applyFill="1" applyBorder="1" applyAlignment="1">
      <alignment horizontal="left" vertical="top"/>
    </xf>
    <xf numFmtId="9" fontId="4" fillId="0" borderId="1" xfId="0" applyNumberFormat="1" applyFont="1" applyFill="1" applyBorder="1" applyAlignment="1">
      <alignment horizontal="center" vertical="top" wrapText="1"/>
    </xf>
    <xf numFmtId="0" fontId="4" fillId="0" borderId="1" xfId="0" applyFont="1" applyBorder="1" applyAlignment="1">
      <alignment horizontal="left" vertical="top"/>
    </xf>
    <xf numFmtId="0" fontId="1" fillId="10" borderId="6" xfId="0" applyFont="1" applyFill="1" applyBorder="1" applyAlignment="1">
      <alignment horizontal="left" vertical="top"/>
    </xf>
    <xf numFmtId="0" fontId="1" fillId="11" borderId="1" xfId="0" applyFont="1" applyFill="1" applyBorder="1" applyAlignment="1">
      <alignment horizontal="left" vertical="top" wrapText="1"/>
    </xf>
    <xf numFmtId="0" fontId="11" fillId="0" borderId="0" xfId="0" applyFont="1" applyBorder="1" applyAlignment="1">
      <alignment horizontal="center" vertical="center"/>
    </xf>
    <xf numFmtId="0" fontId="1" fillId="12" borderId="1" xfId="0" applyFont="1" applyFill="1" applyBorder="1" applyAlignment="1">
      <alignment horizontal="left" vertical="top" wrapText="1"/>
    </xf>
    <xf numFmtId="0" fontId="13" fillId="2" borderId="4" xfId="0" applyFont="1" applyFill="1" applyBorder="1" applyAlignment="1">
      <alignment vertical="center" wrapText="1"/>
    </xf>
    <xf numFmtId="0" fontId="1" fillId="10" borderId="1" xfId="0" applyFont="1" applyFill="1" applyBorder="1" applyAlignment="1">
      <alignment horizontal="left" vertical="top" wrapText="1"/>
    </xf>
    <xf numFmtId="0" fontId="1" fillId="10" borderId="6" xfId="0" applyFont="1" applyFill="1" applyBorder="1" applyAlignment="1">
      <alignment horizontal="left" vertical="top" wrapText="1"/>
    </xf>
    <xf numFmtId="9" fontId="1" fillId="2" borderId="1" xfId="1" applyNumberFormat="1" applyFont="1" applyFill="1" applyBorder="1" applyAlignment="1">
      <alignment horizontal="center" vertical="center"/>
    </xf>
    <xf numFmtId="9" fontId="1" fillId="0" borderId="1" xfId="1" applyFont="1" applyFill="1" applyBorder="1" applyAlignment="1">
      <alignment horizontal="left" vertical="top" wrapText="1"/>
    </xf>
    <xf numFmtId="9"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9" fontId="1" fillId="0" borderId="1" xfId="1" applyFont="1" applyFill="1" applyBorder="1" applyAlignment="1">
      <alignment horizontal="justify" vertical="top" wrapText="1"/>
    </xf>
    <xf numFmtId="9" fontId="1" fillId="0" borderId="1" xfId="0" applyNumberFormat="1" applyFont="1" applyFill="1" applyBorder="1" applyAlignment="1">
      <alignment horizontal="left" vertical="top"/>
    </xf>
    <xf numFmtId="9" fontId="1" fillId="0" borderId="1" xfId="0" applyNumberFormat="1" applyFont="1" applyFill="1" applyBorder="1" applyAlignment="1">
      <alignment horizontal="center" vertical="top"/>
    </xf>
    <xf numFmtId="9" fontId="1" fillId="2" borderId="1" xfId="1" applyNumberFormat="1" applyFont="1" applyFill="1" applyBorder="1" applyAlignment="1">
      <alignment horizontal="center" vertical="center"/>
    </xf>
    <xf numFmtId="0" fontId="1" fillId="2" borderId="1" xfId="0" applyFont="1" applyFill="1" applyBorder="1" applyAlignment="1">
      <alignment horizontal="justify" vertical="center" wrapText="1"/>
    </xf>
    <xf numFmtId="9" fontId="1" fillId="2" borderId="1" xfId="1" applyNumberFormat="1" applyFont="1" applyFill="1" applyBorder="1" applyAlignment="1">
      <alignment horizontal="center" vertical="center"/>
    </xf>
    <xf numFmtId="0" fontId="1" fillId="10" borderId="6" xfId="0" applyFont="1" applyFill="1" applyBorder="1" applyAlignment="1">
      <alignment horizontal="left" vertical="top" wrapText="1"/>
    </xf>
    <xf numFmtId="0" fontId="1" fillId="10" borderId="1" xfId="0" applyFont="1" applyFill="1" applyBorder="1" applyAlignment="1">
      <alignment horizontal="left" vertical="top" wrapText="1"/>
    </xf>
    <xf numFmtId="9" fontId="1" fillId="0" borderId="1" xfId="1" applyFont="1" applyFill="1" applyBorder="1" applyAlignment="1">
      <alignment horizontal="left" vertical="top" wrapText="1"/>
    </xf>
    <xf numFmtId="9"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9" fontId="1" fillId="0" borderId="1" xfId="1" applyFont="1" applyFill="1" applyBorder="1" applyAlignment="1">
      <alignment horizontal="justify" vertical="top" wrapText="1"/>
    </xf>
    <xf numFmtId="9" fontId="1" fillId="0" borderId="1" xfId="0" applyNumberFormat="1" applyFont="1" applyFill="1" applyBorder="1" applyAlignment="1">
      <alignment horizontal="center" vertical="top"/>
    </xf>
    <xf numFmtId="0" fontId="1" fillId="11" borderId="1" xfId="0" applyFont="1" applyFill="1" applyBorder="1" applyAlignment="1">
      <alignment horizontal="left" vertical="top" wrapText="1"/>
    </xf>
    <xf numFmtId="9" fontId="1" fillId="2" borderId="1" xfId="1" applyNumberFormat="1" applyFont="1" applyFill="1" applyBorder="1" applyAlignment="1">
      <alignment horizontal="center" vertical="center"/>
    </xf>
    <xf numFmtId="0" fontId="1" fillId="0" borderId="0" xfId="0" applyFont="1" applyAlignment="1">
      <alignment horizontal="justify" vertical="center"/>
    </xf>
    <xf numFmtId="9" fontId="1" fillId="0" borderId="1" xfId="1" applyFont="1" applyFill="1" applyBorder="1" applyAlignment="1">
      <alignment horizontal="justify" vertical="top" wrapText="1"/>
    </xf>
    <xf numFmtId="9" fontId="1" fillId="2" borderId="1" xfId="1" applyNumberFormat="1" applyFont="1" applyFill="1" applyBorder="1" applyAlignment="1">
      <alignment horizontal="center" vertical="center"/>
    </xf>
    <xf numFmtId="0" fontId="1" fillId="2" borderId="1" xfId="0" applyFont="1" applyFill="1" applyBorder="1" applyAlignment="1">
      <alignment horizontal="left" vertical="top" wrapText="1"/>
    </xf>
    <xf numFmtId="9" fontId="1" fillId="0" borderId="1" xfId="1" applyFont="1" applyFill="1" applyBorder="1" applyAlignment="1">
      <alignment horizontal="justify" vertical="top" wrapText="1"/>
    </xf>
    <xf numFmtId="9" fontId="1" fillId="0" borderId="1" xfId="0" applyNumberFormat="1" applyFont="1" applyFill="1" applyBorder="1" applyAlignment="1">
      <alignment horizontal="center" vertical="top"/>
    </xf>
    <xf numFmtId="0" fontId="1" fillId="0" borderId="1" xfId="0" applyFont="1" applyFill="1" applyBorder="1" applyAlignment="1">
      <alignment horizontal="justify" vertical="center" wrapText="1"/>
    </xf>
    <xf numFmtId="0" fontId="1" fillId="2" borderId="1" xfId="0" applyFont="1" applyFill="1" applyBorder="1" applyAlignment="1">
      <alignment horizontal="justify" vertical="center"/>
    </xf>
    <xf numFmtId="9" fontId="1" fillId="0" borderId="1" xfId="0" applyNumberFormat="1" applyFont="1" applyFill="1" applyBorder="1" applyAlignment="1">
      <alignment horizontal="center" vertical="top"/>
    </xf>
    <xf numFmtId="9" fontId="1" fillId="0" borderId="1" xfId="1" applyNumberFormat="1" applyFont="1" applyFill="1" applyBorder="1" applyAlignment="1">
      <alignment horizontal="center" vertical="center"/>
    </xf>
    <xf numFmtId="9" fontId="1" fillId="2" borderId="1" xfId="1" applyNumberFormat="1" applyFont="1" applyFill="1" applyBorder="1" applyAlignment="1">
      <alignment horizontal="center" vertical="center"/>
    </xf>
    <xf numFmtId="9" fontId="1" fillId="2" borderId="1" xfId="1" applyNumberFormat="1" applyFont="1" applyFill="1" applyBorder="1" applyAlignment="1">
      <alignment horizontal="center" vertical="center"/>
    </xf>
    <xf numFmtId="9" fontId="1" fillId="0" borderId="1" xfId="0" applyNumberFormat="1" applyFont="1" applyFill="1" applyBorder="1" applyAlignment="1">
      <alignment horizontal="center" vertical="top"/>
    </xf>
    <xf numFmtId="0" fontId="1" fillId="0" borderId="0" xfId="0" applyFont="1" applyAlignment="1">
      <alignment horizontal="left" vertical="top" wrapText="1"/>
    </xf>
    <xf numFmtId="0" fontId="1" fillId="0" borderId="0" xfId="0" applyFont="1" applyAlignment="1">
      <alignment horizontal="left" vertical="center" wrapText="1"/>
    </xf>
    <xf numFmtId="9" fontId="1" fillId="2" borderId="1" xfId="1" applyNumberFormat="1" applyFont="1" applyFill="1" applyBorder="1" applyAlignment="1">
      <alignment horizontal="center" vertical="center"/>
    </xf>
    <xf numFmtId="0" fontId="1" fillId="10" borderId="7" xfId="0" applyFont="1" applyFill="1" applyBorder="1" applyAlignment="1">
      <alignment horizontal="left" vertical="top" wrapText="1"/>
    </xf>
    <xf numFmtId="0" fontId="1" fillId="0" borderId="1" xfId="0" applyFont="1" applyBorder="1" applyAlignment="1">
      <alignment horizontal="center" vertical="center"/>
    </xf>
    <xf numFmtId="9" fontId="1" fillId="2" borderId="1" xfId="1"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1" fillId="0" borderId="1" xfId="0" applyFont="1" applyFill="1" applyBorder="1" applyAlignment="1">
      <alignment horizontal="justify" vertical="center"/>
    </xf>
    <xf numFmtId="9" fontId="1" fillId="0" borderId="1" xfId="1" applyFont="1" applyFill="1" applyBorder="1" applyAlignment="1">
      <alignment horizontal="center" vertical="center"/>
    </xf>
    <xf numFmtId="0" fontId="1" fillId="0" borderId="1" xfId="0" applyFont="1" applyBorder="1" applyAlignment="1">
      <alignment horizontal="justify" vertical="top" wrapText="1"/>
    </xf>
    <xf numFmtId="9" fontId="1" fillId="2" borderId="1" xfId="1"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 fontId="6" fillId="5"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 fontId="6" fillId="7" borderId="1" xfId="1" applyNumberFormat="1" applyFont="1" applyFill="1" applyBorder="1" applyAlignment="1">
      <alignment horizontal="center" vertical="center" wrapText="1"/>
    </xf>
    <xf numFmtId="1" fontId="6" fillId="8" borderId="1" xfId="1"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wrapText="1"/>
    </xf>
    <xf numFmtId="9" fontId="1" fillId="0" borderId="1" xfId="0" applyNumberFormat="1" applyFont="1" applyFill="1" applyBorder="1" applyAlignment="1">
      <alignment horizontal="center" vertical="top"/>
    </xf>
    <xf numFmtId="9" fontId="2" fillId="0" borderId="1" xfId="1" applyFont="1" applyFill="1" applyBorder="1" applyAlignment="1">
      <alignment horizontal="left" vertical="top" wrapText="1"/>
    </xf>
    <xf numFmtId="9" fontId="1" fillId="2" borderId="1" xfId="1" applyNumberFormat="1" applyFont="1" applyFill="1" applyBorder="1" applyAlignment="1">
      <alignment horizontal="center" vertical="center"/>
    </xf>
    <xf numFmtId="9" fontId="1" fillId="0" borderId="1" xfId="0" applyNumberFormat="1" applyFont="1" applyBorder="1" applyAlignment="1">
      <alignment horizontal="center" vertical="center"/>
    </xf>
    <xf numFmtId="0" fontId="1" fillId="10" borderId="6" xfId="0" applyFont="1" applyFill="1" applyBorder="1" applyAlignment="1">
      <alignment horizontal="left" vertical="top" wrapText="1"/>
    </xf>
    <xf numFmtId="0" fontId="1" fillId="10" borderId="1" xfId="0" applyFont="1" applyFill="1" applyBorder="1" applyAlignment="1">
      <alignment horizontal="left" vertical="top" wrapText="1"/>
    </xf>
    <xf numFmtId="9" fontId="1" fillId="0" borderId="1" xfId="1" applyFont="1" applyFill="1" applyBorder="1" applyAlignment="1">
      <alignment horizontal="left" vertical="top" wrapText="1"/>
    </xf>
    <xf numFmtId="0" fontId="1" fillId="0" borderId="1" xfId="0" applyFont="1" applyFill="1" applyBorder="1" applyAlignment="1">
      <alignment horizontal="left" vertical="top" wrapText="1"/>
    </xf>
    <xf numFmtId="9" fontId="1" fillId="0" borderId="1" xfId="1" applyFont="1" applyFill="1" applyBorder="1" applyAlignment="1">
      <alignment horizontal="justify" vertical="top" wrapText="1"/>
    </xf>
    <xf numFmtId="9" fontId="1" fillId="0" borderId="1" xfId="0" applyNumberFormat="1" applyFont="1" applyFill="1" applyBorder="1" applyAlignment="1">
      <alignment horizontal="center" vertical="top"/>
    </xf>
    <xf numFmtId="0" fontId="1" fillId="11" borderId="1" xfId="0" applyFont="1" applyFill="1" applyBorder="1" applyAlignment="1">
      <alignment horizontal="left" vertical="top" wrapText="1"/>
    </xf>
    <xf numFmtId="9" fontId="1" fillId="2" borderId="1" xfId="1" applyNumberFormat="1" applyFont="1" applyFill="1" applyBorder="1" applyAlignment="1">
      <alignment horizontal="center" vertical="center"/>
    </xf>
    <xf numFmtId="9" fontId="2" fillId="0" borderId="1" xfId="1" applyFont="1" applyFill="1" applyBorder="1" applyAlignment="1">
      <alignment horizontal="left" vertical="top" wrapText="1"/>
    </xf>
    <xf numFmtId="0" fontId="1" fillId="10" borderId="1"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center" vertical="top" wrapText="1"/>
    </xf>
    <xf numFmtId="9" fontId="1" fillId="2" borderId="1" xfId="1" applyNumberFormat="1" applyFont="1" applyFill="1" applyBorder="1" applyAlignment="1">
      <alignment horizontal="center" vertical="center"/>
    </xf>
    <xf numFmtId="9" fontId="1" fillId="0" borderId="1" xfId="1" applyFont="1" applyFill="1" applyBorder="1" applyAlignment="1">
      <alignment horizontal="justify" vertical="top" wrapText="1"/>
    </xf>
    <xf numFmtId="9" fontId="1" fillId="0" borderId="1" xfId="1" applyFont="1" applyFill="1" applyBorder="1" applyAlignment="1">
      <alignment horizontal="left" vertical="top" wrapText="1"/>
    </xf>
    <xf numFmtId="0" fontId="1" fillId="0" borderId="1" xfId="0" applyFont="1" applyFill="1" applyBorder="1" applyAlignment="1">
      <alignment horizontal="left" vertical="top" wrapText="1"/>
    </xf>
    <xf numFmtId="0" fontId="1" fillId="11" borderId="1" xfId="0" applyFont="1" applyFill="1" applyBorder="1" applyAlignment="1">
      <alignment horizontal="left" vertical="top" wrapText="1"/>
    </xf>
    <xf numFmtId="9" fontId="1" fillId="0" borderId="1" xfId="0" applyNumberFormat="1" applyFont="1" applyFill="1" applyBorder="1" applyAlignment="1">
      <alignment horizontal="center" vertical="top"/>
    </xf>
    <xf numFmtId="9" fontId="2" fillId="0" borderId="1" xfId="1" applyFont="1" applyFill="1" applyBorder="1" applyAlignment="1">
      <alignment horizontal="left" vertical="top" wrapText="1"/>
    </xf>
    <xf numFmtId="9" fontId="1" fillId="2" borderId="1" xfId="0" applyNumberFormat="1" applyFont="1" applyFill="1" applyBorder="1" applyAlignment="1">
      <alignment horizontal="center" vertical="top"/>
    </xf>
    <xf numFmtId="0" fontId="7" fillId="2" borderId="2" xfId="0" applyFont="1" applyFill="1" applyBorder="1" applyAlignment="1">
      <alignment vertical="center" wrapText="1"/>
    </xf>
    <xf numFmtId="0" fontId="1" fillId="2" borderId="2" xfId="0" applyFont="1" applyFill="1" applyBorder="1" applyAlignment="1">
      <alignment horizontal="justify" vertical="top" wrapText="1"/>
    </xf>
    <xf numFmtId="0" fontId="1" fillId="2" borderId="2" xfId="0" applyFont="1" applyFill="1" applyBorder="1" applyAlignment="1">
      <alignment horizontal="left" vertical="center" wrapText="1"/>
    </xf>
    <xf numFmtId="9" fontId="1" fillId="2" borderId="2" xfId="1" applyNumberFormat="1" applyFont="1" applyFill="1" applyBorder="1" applyAlignment="1">
      <alignment horizontal="center" vertical="center"/>
    </xf>
    <xf numFmtId="9" fontId="1" fillId="2" borderId="1" xfId="1" applyNumberFormat="1" applyFont="1" applyFill="1" applyBorder="1" applyAlignment="1">
      <alignment horizontal="center" vertical="center"/>
    </xf>
    <xf numFmtId="0" fontId="7" fillId="0" borderId="1" xfId="0" applyFont="1" applyBorder="1" applyAlignment="1">
      <alignment horizontal="left" vertical="center" wrapText="1"/>
    </xf>
    <xf numFmtId="9" fontId="2" fillId="0" borderId="1" xfId="1" applyFont="1" applyFill="1" applyBorder="1" applyAlignment="1">
      <alignment horizontal="justify" vertical="top" wrapText="1"/>
    </xf>
    <xf numFmtId="0" fontId="1" fillId="10" borderId="3" xfId="0" applyFont="1" applyFill="1" applyBorder="1" applyAlignment="1">
      <alignment vertical="top" wrapText="1"/>
    </xf>
    <xf numFmtId="0" fontId="1" fillId="10" borderId="5" xfId="0" applyFont="1" applyFill="1" applyBorder="1" applyAlignment="1">
      <alignment vertical="top" wrapText="1"/>
    </xf>
    <xf numFmtId="0" fontId="1" fillId="10" borderId="2" xfId="0" applyFont="1" applyFill="1" applyBorder="1" applyAlignment="1">
      <alignment vertical="top" wrapText="1"/>
    </xf>
    <xf numFmtId="0" fontId="1" fillId="2" borderId="1" xfId="0" applyFont="1" applyFill="1" applyBorder="1" applyAlignment="1">
      <alignment horizontal="left" vertical="center" wrapText="1"/>
    </xf>
    <xf numFmtId="9" fontId="1" fillId="2" borderId="1" xfId="1" applyNumberFormat="1" applyFont="1" applyFill="1" applyBorder="1" applyAlignment="1">
      <alignment horizontal="center" vertical="center"/>
    </xf>
    <xf numFmtId="0" fontId="1" fillId="2" borderId="2" xfId="0" applyFont="1" applyFill="1" applyBorder="1" applyAlignment="1">
      <alignment horizontal="left" vertical="center" wrapText="1"/>
    </xf>
    <xf numFmtId="9" fontId="1" fillId="2" borderId="2" xfId="1" applyNumberFormat="1" applyFont="1" applyFill="1" applyBorder="1" applyAlignment="1">
      <alignment horizontal="center" vertical="center"/>
    </xf>
    <xf numFmtId="0" fontId="1" fillId="2" borderId="2" xfId="0" applyFont="1" applyFill="1" applyBorder="1" applyAlignment="1">
      <alignment horizontal="justify" vertical="center" wrapText="1"/>
    </xf>
    <xf numFmtId="9" fontId="1" fillId="2" borderId="1" xfId="1" applyNumberFormat="1" applyFont="1" applyFill="1" applyBorder="1" applyAlignment="1">
      <alignment horizontal="center" vertical="center"/>
    </xf>
    <xf numFmtId="9" fontId="1" fillId="2" borderId="2" xfId="1" applyNumberFormat="1" applyFont="1" applyFill="1" applyBorder="1" applyAlignment="1">
      <alignment horizontal="center" vertical="center"/>
    </xf>
    <xf numFmtId="9" fontId="7" fillId="13" borderId="1" xfId="0" applyNumberFormat="1" applyFont="1" applyFill="1" applyBorder="1" applyAlignment="1">
      <alignment horizontal="center" vertical="center" wrapText="1"/>
    </xf>
    <xf numFmtId="0" fontId="1" fillId="0" borderId="1" xfId="0" applyFont="1" applyBorder="1" applyAlignment="1">
      <alignment vertical="top" wrapText="1"/>
    </xf>
    <xf numFmtId="9" fontId="2" fillId="0" borderId="1" xfId="1" applyFont="1" applyFill="1" applyBorder="1" applyAlignment="1">
      <alignment horizontal="justify" vertical="top" wrapText="1"/>
    </xf>
    <xf numFmtId="9" fontId="1" fillId="2" borderId="2" xfId="1" applyNumberFormat="1" applyFont="1" applyFill="1" applyBorder="1" applyAlignment="1">
      <alignment horizontal="center" vertical="center"/>
    </xf>
    <xf numFmtId="0" fontId="1" fillId="2" borderId="2" xfId="0" applyFont="1" applyFill="1" applyBorder="1" applyAlignment="1">
      <alignment horizontal="left" vertical="center" wrapText="1"/>
    </xf>
    <xf numFmtId="9" fontId="1" fillId="2" borderId="1" xfId="1" applyNumberFormat="1" applyFont="1" applyFill="1" applyBorder="1" applyAlignment="1">
      <alignment horizontal="center" vertical="center"/>
    </xf>
    <xf numFmtId="0" fontId="1" fillId="0" borderId="1" xfId="0" applyFont="1" applyFill="1" applyBorder="1" applyAlignment="1">
      <alignment horizontal="left" vertical="top" wrapText="1"/>
    </xf>
    <xf numFmtId="0" fontId="6" fillId="6" borderId="1" xfId="0" applyFont="1" applyFill="1" applyBorder="1" applyAlignment="1">
      <alignment horizontal="left" vertical="center" wrapText="1"/>
    </xf>
    <xf numFmtId="0" fontId="1" fillId="0" borderId="0" xfId="0" applyFont="1" applyFill="1" applyAlignment="1">
      <alignment horizontal="left" vertical="top" wrapText="1"/>
    </xf>
    <xf numFmtId="9" fontId="1" fillId="2" borderId="2" xfId="1" applyNumberFormat="1" applyFont="1" applyFill="1" applyBorder="1" applyAlignment="1">
      <alignment horizontal="center" vertical="center"/>
    </xf>
    <xf numFmtId="9" fontId="1" fillId="2" borderId="1" xfId="1" applyNumberFormat="1" applyFont="1" applyFill="1" applyBorder="1" applyAlignment="1">
      <alignment horizontal="center" vertical="center"/>
    </xf>
    <xf numFmtId="0" fontId="7" fillId="0" borderId="1" xfId="0" applyFont="1" applyBorder="1" applyAlignment="1">
      <alignment vertical="center" wrapText="1"/>
    </xf>
    <xf numFmtId="9" fontId="1" fillId="2" borderId="1" xfId="1" applyNumberFormat="1" applyFont="1" applyFill="1" applyBorder="1" applyAlignment="1">
      <alignment horizontal="center" vertical="center"/>
    </xf>
    <xf numFmtId="0" fontId="1" fillId="10" borderId="1" xfId="0" applyFont="1" applyFill="1" applyBorder="1" applyAlignment="1">
      <alignment horizontal="center" vertical="top" wrapText="1"/>
    </xf>
    <xf numFmtId="9" fontId="1" fillId="2" borderId="1" xfId="1" applyNumberFormat="1" applyFont="1" applyFill="1" applyBorder="1" applyAlignment="1">
      <alignment horizontal="center" vertical="center"/>
    </xf>
    <xf numFmtId="9" fontId="1" fillId="0" borderId="1" xfId="1" applyFont="1" applyFill="1" applyBorder="1" applyAlignment="1">
      <alignment horizontal="center" vertical="top" wrapText="1"/>
    </xf>
    <xf numFmtId="9" fontId="1" fillId="0" borderId="1" xfId="0" applyNumberFormat="1" applyFont="1" applyFill="1" applyBorder="1" applyAlignment="1">
      <alignment horizontal="center" vertical="top" wrapText="1"/>
    </xf>
    <xf numFmtId="9" fontId="1" fillId="0" borderId="1" xfId="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9" fontId="2" fillId="0" borderId="1" xfId="1" applyFont="1" applyFill="1" applyBorder="1" applyAlignment="1">
      <alignment horizontal="left" vertical="top" wrapText="1"/>
    </xf>
    <xf numFmtId="0" fontId="1" fillId="10" borderId="1" xfId="0" applyFont="1" applyFill="1" applyBorder="1" applyAlignment="1">
      <alignment horizontal="center" vertical="top"/>
    </xf>
    <xf numFmtId="0" fontId="1" fillId="11" borderId="1" xfId="0" applyFont="1" applyFill="1" applyBorder="1" applyAlignment="1">
      <alignment horizontal="center" vertical="top" wrapText="1"/>
    </xf>
    <xf numFmtId="9" fontId="1" fillId="2" borderId="1" xfId="0" applyNumberFormat="1" applyFont="1" applyFill="1" applyBorder="1" applyAlignment="1">
      <alignment horizontal="center" vertical="top" wrapText="1"/>
    </xf>
    <xf numFmtId="9" fontId="1" fillId="0" borderId="1" xfId="1" applyFont="1" applyFill="1" applyBorder="1" applyAlignment="1">
      <alignment horizontal="justify" vertical="center" wrapText="1"/>
    </xf>
    <xf numFmtId="20" fontId="7" fillId="0" borderId="1" xfId="0" applyNumberFormat="1" applyFont="1" applyFill="1" applyBorder="1" applyAlignment="1">
      <alignment vertical="center" wrapText="1"/>
    </xf>
    <xf numFmtId="9" fontId="2" fillId="0" borderId="1" xfId="1" applyFont="1" applyFill="1" applyBorder="1" applyAlignment="1">
      <alignment horizontal="justify" vertical="center" wrapText="1"/>
    </xf>
    <xf numFmtId="9" fontId="1" fillId="0" borderId="1" xfId="0" applyNumberFormat="1" applyFont="1" applyFill="1" applyBorder="1" applyAlignment="1">
      <alignment horizontal="center" vertical="top"/>
    </xf>
    <xf numFmtId="9" fontId="1" fillId="2" borderId="1" xfId="1" applyNumberFormat="1" applyFont="1" applyFill="1" applyBorder="1" applyAlignment="1">
      <alignment horizontal="center" vertical="center"/>
    </xf>
    <xf numFmtId="9" fontId="2" fillId="0" borderId="1" xfId="1" applyFont="1" applyFill="1" applyBorder="1" applyAlignment="1">
      <alignment horizontal="left" vertical="top" wrapText="1"/>
    </xf>
    <xf numFmtId="0" fontId="1" fillId="0" borderId="5" xfId="0" applyFont="1" applyFill="1" applyBorder="1" applyAlignment="1">
      <alignment horizontal="center" vertical="top" wrapText="1"/>
    </xf>
    <xf numFmtId="9" fontId="1" fillId="0" borderId="5" xfId="1" applyFont="1" applyFill="1" applyBorder="1" applyAlignment="1">
      <alignment horizontal="center" vertical="top" wrapText="1"/>
    </xf>
    <xf numFmtId="9" fontId="1" fillId="0" borderId="5" xfId="0" applyNumberFormat="1" applyFont="1" applyFill="1" applyBorder="1" applyAlignment="1">
      <alignment horizontal="center" vertical="top" wrapText="1"/>
    </xf>
    <xf numFmtId="0" fontId="1" fillId="10" borderId="5" xfId="0" applyFont="1" applyFill="1" applyBorder="1" applyAlignment="1">
      <alignment horizontal="center" vertical="top" wrapText="1"/>
    </xf>
    <xf numFmtId="0" fontId="1" fillId="0" borderId="5" xfId="0" applyFont="1" applyFill="1" applyBorder="1" applyAlignment="1">
      <alignment horizontal="left" vertical="top" wrapText="1"/>
    </xf>
    <xf numFmtId="9" fontId="1" fillId="2" borderId="3" xfId="1" applyNumberFormat="1" applyFont="1" applyFill="1" applyBorder="1" applyAlignment="1">
      <alignment horizontal="center" vertical="center"/>
    </xf>
    <xf numFmtId="9" fontId="2" fillId="0" borderId="1" xfId="1" applyFont="1" applyFill="1" applyBorder="1" applyAlignment="1">
      <alignment horizontal="justify" vertical="center" wrapText="1"/>
    </xf>
    <xf numFmtId="0" fontId="1" fillId="10" borderId="8" xfId="0" applyFont="1" applyFill="1" applyBorder="1" applyAlignment="1">
      <alignment horizontal="center" vertical="top" wrapText="1"/>
    </xf>
    <xf numFmtId="0" fontId="7" fillId="0" borderId="3" xfId="0" applyFont="1" applyBorder="1" applyAlignment="1">
      <alignment vertical="center" wrapText="1"/>
    </xf>
    <xf numFmtId="0" fontId="1" fillId="0" borderId="3" xfId="0" applyFont="1" applyBorder="1" applyAlignment="1">
      <alignment horizontal="left" vertical="top" wrapText="1"/>
    </xf>
    <xf numFmtId="9" fontId="1" fillId="2" borderId="1" xfId="1" applyNumberFormat="1" applyFont="1" applyFill="1" applyBorder="1" applyAlignment="1">
      <alignment horizontal="center" vertical="center"/>
    </xf>
    <xf numFmtId="9" fontId="1" fillId="0" borderId="1" xfId="0" applyNumberFormat="1" applyFont="1" applyFill="1" applyBorder="1" applyAlignment="1">
      <alignment horizontal="center" vertical="top" wrapText="1"/>
    </xf>
    <xf numFmtId="9" fontId="1" fillId="0" borderId="1" xfId="0" applyNumberFormat="1" applyFont="1" applyFill="1" applyBorder="1" applyAlignment="1">
      <alignment horizontal="center" vertical="top"/>
    </xf>
    <xf numFmtId="9" fontId="1" fillId="2" borderId="1" xfId="1" applyNumberFormat="1" applyFont="1" applyFill="1" applyBorder="1" applyAlignment="1">
      <alignment horizontal="center" vertical="center"/>
    </xf>
    <xf numFmtId="9" fontId="1" fillId="2" borderId="3" xfId="1" applyNumberFormat="1" applyFont="1" applyFill="1" applyBorder="1" applyAlignment="1">
      <alignment horizontal="center" vertical="center"/>
    </xf>
    <xf numFmtId="9" fontId="2" fillId="0" borderId="1" xfId="1" applyFont="1" applyFill="1" applyBorder="1" applyAlignment="1">
      <alignment horizontal="justify" vertical="center" wrapText="1"/>
    </xf>
    <xf numFmtId="9" fontId="1" fillId="0" borderId="1" xfId="1" applyFont="1" applyFill="1" applyBorder="1" applyAlignment="1">
      <alignment horizontal="center" vertical="top" wrapText="1"/>
    </xf>
    <xf numFmtId="9" fontId="1" fillId="0" borderId="1" xfId="0" applyNumberFormat="1" applyFont="1" applyFill="1" applyBorder="1" applyAlignment="1">
      <alignment horizontal="center" vertical="top" wrapText="1"/>
    </xf>
    <xf numFmtId="0" fontId="1" fillId="12" borderId="3" xfId="0" applyFont="1" applyFill="1" applyBorder="1" applyAlignment="1">
      <alignment horizontal="center" vertical="top" wrapText="1"/>
    </xf>
    <xf numFmtId="0" fontId="1" fillId="12" borderId="5" xfId="0" applyFont="1" applyFill="1" applyBorder="1" applyAlignment="1">
      <alignment horizontal="center" vertical="top" wrapText="1"/>
    </xf>
    <xf numFmtId="0" fontId="1" fillId="12" borderId="2" xfId="0" applyFont="1" applyFill="1" applyBorder="1" applyAlignment="1">
      <alignment horizontal="center" vertical="top" wrapText="1"/>
    </xf>
    <xf numFmtId="0" fontId="1" fillId="12" borderId="3" xfId="0" applyFont="1" applyFill="1" applyBorder="1" applyAlignment="1">
      <alignment horizontal="center" vertical="top"/>
    </xf>
    <xf numFmtId="0" fontId="1" fillId="12" borderId="5" xfId="0" applyFont="1" applyFill="1" applyBorder="1" applyAlignment="1">
      <alignment horizontal="center" vertical="top"/>
    </xf>
    <xf numFmtId="0" fontId="1" fillId="12" borderId="2" xfId="0" applyFont="1" applyFill="1" applyBorder="1" applyAlignment="1">
      <alignment horizontal="center" vertical="top"/>
    </xf>
    <xf numFmtId="0" fontId="4" fillId="2" borderId="3"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10" borderId="3" xfId="0" applyFont="1" applyFill="1" applyBorder="1" applyAlignment="1">
      <alignment horizontal="left" vertical="top" wrapText="1"/>
    </xf>
    <xf numFmtId="0" fontId="4" fillId="10" borderId="5" xfId="0" applyFont="1" applyFill="1" applyBorder="1" applyAlignment="1">
      <alignment horizontal="left" vertical="top" wrapText="1"/>
    </xf>
    <xf numFmtId="0" fontId="4" fillId="10" borderId="2" xfId="0" applyFont="1" applyFill="1" applyBorder="1" applyAlignment="1">
      <alignment horizontal="left" vertical="top" wrapText="1"/>
    </xf>
    <xf numFmtId="0" fontId="4" fillId="11" borderId="3" xfId="0" applyFont="1" applyFill="1" applyBorder="1" applyAlignment="1">
      <alignment horizontal="left" vertical="top" wrapText="1"/>
    </xf>
    <xf numFmtId="0" fontId="4" fillId="11" borderId="5" xfId="0" applyFont="1" applyFill="1" applyBorder="1" applyAlignment="1">
      <alignment horizontal="left" vertical="top" wrapText="1"/>
    </xf>
    <xf numFmtId="0" fontId="4" fillId="11" borderId="2"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6" xfId="0" applyFont="1" applyFill="1" applyBorder="1" applyAlignment="1">
      <alignment horizontal="left" vertical="top"/>
    </xf>
    <xf numFmtId="9" fontId="4" fillId="0" borderId="1" xfId="1" applyFont="1" applyFill="1" applyBorder="1" applyAlignment="1">
      <alignment horizontal="left" vertical="top" wrapText="1"/>
    </xf>
    <xf numFmtId="0" fontId="4" fillId="2" borderId="1" xfId="0" applyFont="1" applyFill="1" applyBorder="1" applyAlignment="1">
      <alignment horizontal="left" vertical="top" wrapText="1"/>
    </xf>
    <xf numFmtId="9" fontId="4" fillId="2" borderId="3" xfId="1" applyNumberFormat="1" applyFont="1" applyFill="1" applyBorder="1" applyAlignment="1">
      <alignment horizontal="left" vertical="top"/>
    </xf>
    <xf numFmtId="9" fontId="4" fillId="2" borderId="2" xfId="1" applyNumberFormat="1" applyFont="1" applyFill="1" applyBorder="1" applyAlignment="1">
      <alignment horizontal="left" vertical="top"/>
    </xf>
    <xf numFmtId="0" fontId="1" fillId="12" borderId="3" xfId="0" applyFont="1" applyFill="1" applyBorder="1" applyAlignment="1">
      <alignment horizontal="left" vertical="top" wrapText="1"/>
    </xf>
    <xf numFmtId="0" fontId="1" fillId="12" borderId="5" xfId="0" applyFont="1" applyFill="1" applyBorder="1" applyAlignment="1">
      <alignment horizontal="left" vertical="top" wrapText="1"/>
    </xf>
    <xf numFmtId="0" fontId="1" fillId="12" borderId="2" xfId="0" applyFont="1" applyFill="1" applyBorder="1" applyAlignment="1">
      <alignment horizontal="left" vertical="top" wrapText="1"/>
    </xf>
    <xf numFmtId="0" fontId="4" fillId="1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9" fontId="4" fillId="0" borderId="5" xfId="1" applyFont="1" applyFill="1" applyBorder="1" applyAlignment="1">
      <alignment horizontal="left" vertical="top" wrapText="1"/>
    </xf>
    <xf numFmtId="9" fontId="4" fillId="0" borderId="2" xfId="1" applyFont="1" applyFill="1" applyBorder="1" applyAlignment="1">
      <alignment horizontal="left" vertical="top" wrapText="1"/>
    </xf>
    <xf numFmtId="9" fontId="4" fillId="0" borderId="1" xfId="0" applyNumberFormat="1" applyFont="1" applyFill="1" applyBorder="1" applyAlignment="1">
      <alignment horizontal="left" vertical="top" wrapText="1"/>
    </xf>
    <xf numFmtId="9" fontId="4" fillId="0" borderId="1" xfId="0" applyNumberFormat="1" applyFont="1" applyFill="1" applyBorder="1" applyAlignment="1">
      <alignment horizontal="center" vertical="top"/>
    </xf>
    <xf numFmtId="9" fontId="4" fillId="2" borderId="1" xfId="1" applyNumberFormat="1" applyFont="1" applyFill="1" applyBorder="1" applyAlignment="1">
      <alignment horizontal="left" vertical="top"/>
    </xf>
    <xf numFmtId="9" fontId="4" fillId="0" borderId="3" xfId="1" applyFont="1" applyFill="1" applyBorder="1" applyAlignment="1">
      <alignment horizontal="left" vertical="top" wrapText="1"/>
    </xf>
    <xf numFmtId="9" fontId="4" fillId="0" borderId="3" xfId="0" applyNumberFormat="1" applyFont="1" applyFill="1" applyBorder="1" applyAlignment="1">
      <alignment horizontal="left" vertical="top" wrapText="1"/>
    </xf>
    <xf numFmtId="9" fontId="4" fillId="0" borderId="5" xfId="0" applyNumberFormat="1" applyFont="1" applyFill="1" applyBorder="1" applyAlignment="1">
      <alignment horizontal="left" vertical="top" wrapText="1"/>
    </xf>
    <xf numFmtId="9" fontId="4" fillId="0" borderId="3" xfId="0" applyNumberFormat="1" applyFont="1" applyFill="1" applyBorder="1" applyAlignment="1">
      <alignment horizontal="center" vertical="top"/>
    </xf>
    <xf numFmtId="9" fontId="4" fillId="0" borderId="5" xfId="0" applyNumberFormat="1" applyFont="1" applyFill="1" applyBorder="1" applyAlignment="1">
      <alignment horizontal="center" vertical="top"/>
    </xf>
    <xf numFmtId="0" fontId="4" fillId="0" borderId="2" xfId="0" applyFont="1" applyFill="1" applyBorder="1" applyAlignment="1">
      <alignment horizontal="center" vertical="top"/>
    </xf>
    <xf numFmtId="9" fontId="4" fillId="0" borderId="2" xfId="0" applyNumberFormat="1" applyFont="1" applyFill="1" applyBorder="1" applyAlignment="1">
      <alignment horizontal="left" vertical="top" wrapText="1"/>
    </xf>
    <xf numFmtId="9"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9" fontId="4" fillId="0" borderId="2" xfId="0" applyNumberFormat="1" applyFont="1" applyFill="1" applyBorder="1" applyAlignment="1">
      <alignment horizontal="center" vertical="top"/>
    </xf>
    <xf numFmtId="164" fontId="4" fillId="0" borderId="3"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2" xfId="0" applyNumberFormat="1" applyFont="1" applyFill="1" applyBorder="1" applyAlignment="1">
      <alignment horizontal="center" vertical="top"/>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9" fontId="4" fillId="0" borderId="3" xfId="0" applyNumberFormat="1" applyFont="1" applyFill="1" applyBorder="1" applyAlignment="1">
      <alignment horizontal="center" vertical="top" wrapText="1"/>
    </xf>
    <xf numFmtId="9" fontId="4" fillId="0" borderId="5" xfId="0" applyNumberFormat="1" applyFont="1" applyFill="1" applyBorder="1" applyAlignment="1">
      <alignment horizontal="center" vertical="top" wrapText="1"/>
    </xf>
    <xf numFmtId="9" fontId="4" fillId="0" borderId="2" xfId="0" applyNumberFormat="1" applyFont="1" applyFill="1" applyBorder="1" applyAlignment="1">
      <alignment horizontal="center" vertical="top" wrapText="1"/>
    </xf>
    <xf numFmtId="0" fontId="14"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1" fillId="10" borderId="6" xfId="0" applyFont="1" applyFill="1" applyBorder="1" applyAlignment="1">
      <alignment horizontal="left" vertical="top" wrapText="1"/>
    </xf>
    <xf numFmtId="0" fontId="1" fillId="10" borderId="1" xfId="0" applyFont="1" applyFill="1" applyBorder="1" applyAlignment="1">
      <alignment horizontal="left" vertical="top" wrapText="1"/>
    </xf>
    <xf numFmtId="9" fontId="1" fillId="0" borderId="1" xfId="1" applyFont="1" applyFill="1" applyBorder="1" applyAlignment="1">
      <alignment horizontal="center" vertical="top" wrapText="1"/>
    </xf>
    <xf numFmtId="9" fontId="1" fillId="0" borderId="1" xfId="0" applyNumberFormat="1" applyFont="1" applyFill="1" applyBorder="1" applyAlignment="1">
      <alignment horizontal="center" vertical="top" wrapText="1"/>
    </xf>
    <xf numFmtId="9" fontId="1" fillId="0" borderId="1" xfId="1" applyFont="1" applyFill="1" applyBorder="1" applyAlignment="1">
      <alignment horizontal="left" vertical="top" wrapText="1"/>
    </xf>
    <xf numFmtId="9" fontId="1" fillId="0" borderId="1" xfId="0" applyNumberFormat="1"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6" fillId="0" borderId="3" xfId="0" applyFont="1" applyFill="1" applyBorder="1" applyAlignment="1">
      <alignment horizontal="center" vertical="center" wrapText="1"/>
    </xf>
    <xf numFmtId="9" fontId="1" fillId="0" borderId="1" xfId="1" applyFont="1" applyFill="1" applyBorder="1" applyAlignment="1">
      <alignment horizontal="justify" vertical="top" wrapText="1"/>
    </xf>
    <xf numFmtId="0" fontId="6" fillId="0" borderId="3" xfId="0" applyFont="1" applyBorder="1" applyAlignment="1">
      <alignment horizontal="center" vertical="center" wrapText="1"/>
    </xf>
    <xf numFmtId="0" fontId="1" fillId="2" borderId="1" xfId="0" applyFont="1" applyFill="1" applyBorder="1" applyAlignment="1">
      <alignment horizontal="left" vertical="top" wrapText="1"/>
    </xf>
    <xf numFmtId="9" fontId="1" fillId="2" borderId="1" xfId="0" applyNumberFormat="1" applyFont="1" applyFill="1" applyBorder="1" applyAlignment="1">
      <alignment horizontal="left" vertical="top"/>
    </xf>
    <xf numFmtId="9" fontId="1" fillId="0" borderId="1" xfId="0" applyNumberFormat="1" applyFont="1" applyFill="1" applyBorder="1" applyAlignment="1">
      <alignment horizontal="left" vertical="top"/>
    </xf>
    <xf numFmtId="9" fontId="1" fillId="0" borderId="1" xfId="0" applyNumberFormat="1" applyFont="1" applyFill="1" applyBorder="1" applyAlignment="1">
      <alignment horizontal="center" vertical="top"/>
    </xf>
    <xf numFmtId="9" fontId="6" fillId="0" borderId="3" xfId="1" applyFont="1" applyFill="1" applyBorder="1" applyAlignment="1">
      <alignment horizontal="center" vertical="center" wrapText="1"/>
    </xf>
    <xf numFmtId="0" fontId="1" fillId="0" borderId="1" xfId="0" applyFont="1" applyFill="1" applyBorder="1" applyAlignment="1">
      <alignment horizontal="left" vertical="top"/>
    </xf>
    <xf numFmtId="164" fontId="1" fillId="0" borderId="1" xfId="0" applyNumberFormat="1" applyFont="1" applyFill="1" applyBorder="1" applyAlignment="1">
      <alignment horizontal="left" vertical="top"/>
    </xf>
    <xf numFmtId="0" fontId="6" fillId="2" borderId="0" xfId="0" applyFont="1" applyFill="1" applyBorder="1" applyAlignment="1">
      <alignment horizontal="center" vertical="center" wrapText="1"/>
    </xf>
    <xf numFmtId="0" fontId="1" fillId="10" borderId="1" xfId="0" applyFont="1" applyFill="1" applyBorder="1" applyAlignment="1">
      <alignment horizontal="center" vertical="top" wrapText="1"/>
    </xf>
    <xf numFmtId="164" fontId="1" fillId="0" borderId="1" xfId="0" applyNumberFormat="1" applyFont="1" applyFill="1" applyBorder="1" applyAlignment="1">
      <alignment horizontal="justify" vertical="top"/>
    </xf>
    <xf numFmtId="164" fontId="1" fillId="0" borderId="1" xfId="0" applyNumberFormat="1" applyFont="1" applyFill="1" applyBorder="1" applyAlignment="1">
      <alignment horizontal="center" vertical="top"/>
    </xf>
    <xf numFmtId="9" fontId="1" fillId="0" borderId="1" xfId="0" applyNumberFormat="1" applyFont="1" applyFill="1" applyBorder="1" applyAlignment="1">
      <alignment horizontal="justify" vertical="top"/>
    </xf>
    <xf numFmtId="0" fontId="1" fillId="11" borderId="1" xfId="0" applyFont="1" applyFill="1" applyBorder="1" applyAlignment="1">
      <alignment horizontal="left" vertical="top" wrapText="1"/>
    </xf>
    <xf numFmtId="9" fontId="1" fillId="2" borderId="1" xfId="1" applyNumberFormat="1" applyFont="1" applyFill="1" applyBorder="1" applyAlignment="1">
      <alignment horizontal="center" vertical="center"/>
    </xf>
    <xf numFmtId="0" fontId="7" fillId="0" borderId="1" xfId="0" applyFont="1" applyBorder="1" applyAlignment="1">
      <alignment horizontal="left" vertical="center" wrapText="1"/>
    </xf>
    <xf numFmtId="9" fontId="1" fillId="0" borderId="1" xfId="0" applyNumberFormat="1" applyFont="1" applyFill="1" applyBorder="1" applyAlignment="1">
      <alignment horizontal="justify" vertical="top" wrapText="1"/>
    </xf>
    <xf numFmtId="0" fontId="1" fillId="10" borderId="1" xfId="0" applyFont="1" applyFill="1" applyBorder="1" applyAlignment="1">
      <alignment horizontal="left" vertical="top"/>
    </xf>
    <xf numFmtId="0" fontId="1" fillId="10" borderId="6" xfId="0" applyFont="1" applyFill="1" applyBorder="1" applyAlignment="1">
      <alignment horizontal="left" vertical="top"/>
    </xf>
    <xf numFmtId="0" fontId="1" fillId="10" borderId="1" xfId="0" applyFont="1" applyFill="1" applyBorder="1" applyAlignment="1">
      <alignment horizontal="justify" vertical="top" wrapText="1"/>
    </xf>
    <xf numFmtId="0" fontId="1" fillId="10" borderId="6" xfId="0" applyFont="1" applyFill="1" applyBorder="1" applyAlignment="1">
      <alignment horizontal="justify" vertical="top" wrapText="1"/>
    </xf>
    <xf numFmtId="0" fontId="1" fillId="10" borderId="3" xfId="0" applyFont="1" applyFill="1" applyBorder="1" applyAlignment="1">
      <alignment horizontal="justify" vertical="top" wrapText="1"/>
    </xf>
    <xf numFmtId="0" fontId="1" fillId="10" borderId="5" xfId="0" applyFont="1" applyFill="1" applyBorder="1" applyAlignment="1">
      <alignment horizontal="justify" vertical="top" wrapText="1"/>
    </xf>
    <xf numFmtId="0" fontId="1" fillId="10" borderId="2" xfId="0" applyFont="1" applyFill="1" applyBorder="1" applyAlignment="1">
      <alignment horizontal="justify" vertical="top" wrapText="1"/>
    </xf>
    <xf numFmtId="9" fontId="1" fillId="2" borderId="1" xfId="0" applyNumberFormat="1" applyFont="1" applyFill="1" applyBorder="1" applyAlignment="1">
      <alignment horizontal="center" vertical="top" wrapText="1"/>
    </xf>
    <xf numFmtId="9" fontId="1" fillId="2" borderId="1" xfId="1" applyFont="1" applyFill="1" applyBorder="1" applyAlignment="1">
      <alignment horizontal="justify" vertical="top" wrapText="1"/>
    </xf>
    <xf numFmtId="9" fontId="1" fillId="0" borderId="3" xfId="1" applyFont="1" applyFill="1" applyBorder="1" applyAlignment="1">
      <alignment horizontal="justify" vertical="top" wrapText="1"/>
    </xf>
    <xf numFmtId="9" fontId="1" fillId="0" borderId="5" xfId="1" applyFont="1" applyFill="1" applyBorder="1" applyAlignment="1">
      <alignment horizontal="justify" vertical="top" wrapText="1"/>
    </xf>
    <xf numFmtId="9" fontId="2" fillId="0" borderId="3" xfId="1" applyFont="1" applyFill="1" applyBorder="1" applyAlignment="1">
      <alignment horizontal="justify" vertical="top" wrapText="1"/>
    </xf>
    <xf numFmtId="9" fontId="1" fillId="2" borderId="1" xfId="0" applyNumberFormat="1" applyFont="1" applyFill="1" applyBorder="1" applyAlignment="1">
      <alignment horizontal="center" vertical="top"/>
    </xf>
    <xf numFmtId="2" fontId="1" fillId="0" borderId="1" xfId="1" applyNumberFormat="1" applyFont="1" applyFill="1" applyBorder="1" applyAlignment="1">
      <alignment horizontal="justify" vertical="top" wrapText="1"/>
    </xf>
    <xf numFmtId="9" fontId="2" fillId="0" borderId="1" xfId="1" applyFont="1" applyFill="1" applyBorder="1" applyAlignment="1">
      <alignment horizontal="justify" vertical="top" wrapText="1"/>
    </xf>
    <xf numFmtId="9" fontId="2" fillId="0" borderId="1" xfId="1" applyFont="1" applyFill="1" applyBorder="1" applyAlignment="1">
      <alignment horizontal="left" vertical="top" wrapText="1"/>
    </xf>
    <xf numFmtId="0" fontId="0" fillId="0" borderId="5" xfId="0" applyBorder="1" applyAlignment="1">
      <alignment horizontal="justify" vertical="top" wrapText="1"/>
    </xf>
    <xf numFmtId="0" fontId="0" fillId="0" borderId="2" xfId="0" applyBorder="1" applyAlignment="1">
      <alignment horizontal="justify" vertical="top" wrapText="1"/>
    </xf>
    <xf numFmtId="9" fontId="1" fillId="0" borderId="3" xfId="1" applyFont="1" applyFill="1" applyBorder="1" applyAlignment="1">
      <alignment horizontal="left" vertical="top" wrapText="1"/>
    </xf>
    <xf numFmtId="9" fontId="1" fillId="0" borderId="5" xfId="1" applyFont="1" applyFill="1" applyBorder="1" applyAlignment="1">
      <alignment horizontal="left" vertical="top" wrapText="1"/>
    </xf>
    <xf numFmtId="9" fontId="1" fillId="0" borderId="2" xfId="1" applyFont="1" applyFill="1" applyBorder="1" applyAlignment="1">
      <alignment horizontal="left" vertical="top" wrapText="1"/>
    </xf>
    <xf numFmtId="9" fontId="1" fillId="0" borderId="3" xfId="0" applyNumberFormat="1" applyFont="1" applyFill="1" applyBorder="1" applyAlignment="1">
      <alignment horizontal="center" vertical="top"/>
    </xf>
    <xf numFmtId="9" fontId="1" fillId="0" borderId="5" xfId="0" applyNumberFormat="1" applyFont="1" applyFill="1" applyBorder="1" applyAlignment="1">
      <alignment horizontal="center" vertical="top"/>
    </xf>
    <xf numFmtId="9" fontId="1" fillId="0" borderId="2" xfId="0" applyNumberFormat="1" applyFont="1" applyFill="1" applyBorder="1" applyAlignment="1">
      <alignment horizontal="center" vertical="top"/>
    </xf>
    <xf numFmtId="0" fontId="1" fillId="0" borderId="3"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2" xfId="0" applyFont="1" applyFill="1" applyBorder="1" applyAlignment="1">
      <alignment horizontal="center" vertical="top" wrapText="1"/>
    </xf>
    <xf numFmtId="9" fontId="1" fillId="0" borderId="3" xfId="1" applyFont="1" applyFill="1" applyBorder="1" applyAlignment="1">
      <alignment horizontal="center" vertical="top" wrapText="1"/>
    </xf>
    <xf numFmtId="9" fontId="1" fillId="0" borderId="5" xfId="1" applyFont="1" applyFill="1" applyBorder="1" applyAlignment="1">
      <alignment horizontal="center" vertical="top" wrapText="1"/>
    </xf>
    <xf numFmtId="9" fontId="1" fillId="0" borderId="2" xfId="1" applyFont="1" applyFill="1" applyBorder="1" applyAlignment="1">
      <alignment horizontal="center" vertical="top" wrapText="1"/>
    </xf>
    <xf numFmtId="9" fontId="1" fillId="0" borderId="3" xfId="0" applyNumberFormat="1" applyFont="1" applyFill="1" applyBorder="1" applyAlignment="1">
      <alignment horizontal="center" vertical="top" wrapText="1"/>
    </xf>
    <xf numFmtId="9" fontId="1" fillId="0" borderId="5" xfId="0" applyNumberFormat="1" applyFont="1" applyFill="1" applyBorder="1" applyAlignment="1">
      <alignment horizontal="center" vertical="top" wrapText="1"/>
    </xf>
    <xf numFmtId="9" fontId="1" fillId="0" borderId="2" xfId="0" applyNumberFormat="1" applyFont="1" applyFill="1" applyBorder="1" applyAlignment="1">
      <alignment horizontal="center" vertical="top" wrapText="1"/>
    </xf>
    <xf numFmtId="0" fontId="1" fillId="10" borderId="1" xfId="0" applyFont="1" applyFill="1" applyBorder="1" applyAlignment="1">
      <alignment horizontal="center" vertical="top"/>
    </xf>
    <xf numFmtId="0" fontId="1" fillId="11" borderId="1" xfId="0" applyFont="1" applyFill="1" applyBorder="1" applyAlignment="1">
      <alignment horizontal="center" vertical="top" wrapText="1"/>
    </xf>
    <xf numFmtId="9" fontId="2" fillId="0" borderId="3" xfId="1" applyFont="1" applyFill="1" applyBorder="1" applyAlignment="1">
      <alignment horizontal="left" vertical="top" wrapText="1"/>
    </xf>
    <xf numFmtId="0" fontId="1" fillId="10" borderId="3" xfId="0" applyFont="1" applyFill="1" applyBorder="1" applyAlignment="1">
      <alignment horizontal="center" vertical="top" wrapText="1"/>
    </xf>
    <xf numFmtId="0" fontId="1" fillId="10" borderId="5" xfId="0" applyFont="1" applyFill="1" applyBorder="1" applyAlignment="1">
      <alignment horizontal="center" vertical="top" wrapText="1"/>
    </xf>
    <xf numFmtId="0" fontId="1" fillId="10" borderId="2" xfId="0" applyFont="1" applyFill="1" applyBorder="1" applyAlignment="1">
      <alignment horizontal="center" vertical="top" wrapText="1"/>
    </xf>
    <xf numFmtId="9" fontId="1" fillId="0" borderId="2" xfId="1" applyFont="1" applyFill="1" applyBorder="1" applyAlignment="1">
      <alignment horizontal="justify" vertical="top" wrapText="1"/>
    </xf>
    <xf numFmtId="9" fontId="2" fillId="0" borderId="3" xfId="1" applyFont="1" applyFill="1" applyBorder="1" applyAlignment="1">
      <alignment vertical="center" wrapText="1"/>
    </xf>
    <xf numFmtId="9" fontId="1" fillId="0" borderId="5" xfId="1" applyFont="1" applyFill="1" applyBorder="1" applyAlignment="1">
      <alignment vertical="center" wrapText="1"/>
    </xf>
    <xf numFmtId="9" fontId="1" fillId="0" borderId="2" xfId="1" applyFont="1" applyFill="1" applyBorder="1" applyAlignment="1">
      <alignment vertical="center"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 xfId="0" applyFont="1" applyFill="1" applyBorder="1" applyAlignment="1">
      <alignment horizontal="left" vertical="top" wrapText="1"/>
    </xf>
    <xf numFmtId="9" fontId="1" fillId="0" borderId="3"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9" fontId="2" fillId="0" borderId="1" xfId="1" applyFont="1" applyFill="1" applyBorder="1" applyAlignment="1">
      <alignment horizontal="justify" vertical="center" wrapText="1"/>
    </xf>
    <xf numFmtId="9" fontId="1" fillId="0" borderId="3" xfId="1" applyFont="1" applyFill="1" applyBorder="1" applyAlignment="1">
      <alignment horizontal="left" vertical="center" wrapText="1"/>
    </xf>
    <xf numFmtId="9" fontId="1" fillId="0" borderId="2" xfId="1" applyFont="1" applyFill="1" applyBorder="1" applyAlignment="1">
      <alignment horizontal="left" vertical="center" wrapText="1"/>
    </xf>
    <xf numFmtId="9" fontId="1" fillId="2" borderId="3" xfId="1" applyNumberFormat="1" applyFont="1" applyFill="1" applyBorder="1" applyAlignment="1">
      <alignment horizontal="center" vertical="top"/>
    </xf>
    <xf numFmtId="9" fontId="1" fillId="2" borderId="5" xfId="1" applyNumberFormat="1" applyFont="1" applyFill="1" applyBorder="1" applyAlignment="1">
      <alignment horizontal="center" vertical="top"/>
    </xf>
    <xf numFmtId="9" fontId="1" fillId="2" borderId="2" xfId="1" applyNumberFormat="1" applyFont="1" applyFill="1" applyBorder="1" applyAlignment="1">
      <alignment horizontal="center" vertical="top"/>
    </xf>
    <xf numFmtId="9" fontId="1" fillId="0" borderId="5" xfId="1" applyFont="1" applyFill="1" applyBorder="1" applyAlignment="1">
      <alignment horizontal="left" vertical="center" wrapText="1"/>
    </xf>
    <xf numFmtId="0" fontId="1" fillId="11" borderId="3" xfId="0" applyFont="1" applyFill="1" applyBorder="1" applyAlignment="1">
      <alignment horizontal="center" vertical="top" wrapText="1"/>
    </xf>
    <xf numFmtId="0" fontId="1" fillId="11" borderId="5" xfId="0" applyFont="1" applyFill="1" applyBorder="1" applyAlignment="1">
      <alignment horizontal="center" vertical="top" wrapText="1"/>
    </xf>
    <xf numFmtId="0" fontId="1" fillId="11" borderId="2" xfId="0" applyFont="1" applyFill="1" applyBorder="1" applyAlignment="1">
      <alignment horizontal="center" vertical="top" wrapText="1"/>
    </xf>
    <xf numFmtId="9" fontId="2" fillId="0" borderId="3" xfId="1" applyFont="1" applyFill="1" applyBorder="1" applyAlignment="1">
      <alignment horizontal="justify" vertical="center" wrapText="1"/>
    </xf>
    <xf numFmtId="9" fontId="1" fillId="0" borderId="5" xfId="1" applyFont="1" applyFill="1" applyBorder="1" applyAlignment="1">
      <alignment horizontal="justify" vertical="center" wrapText="1"/>
    </xf>
    <xf numFmtId="0" fontId="0" fillId="0" borderId="5" xfId="0" applyBorder="1" applyAlignment="1">
      <alignment horizontal="justify" vertical="center" wrapText="1"/>
    </xf>
    <xf numFmtId="46" fontId="1" fillId="0" borderId="1" xfId="1" applyNumberFormat="1" applyFont="1" applyFill="1" applyBorder="1" applyAlignment="1">
      <alignment horizontal="left" vertical="top" wrapText="1"/>
    </xf>
    <xf numFmtId="9" fontId="2" fillId="0" borderId="5" xfId="1" applyFont="1" applyFill="1" applyBorder="1" applyAlignment="1">
      <alignment horizontal="left" vertical="top" wrapText="1"/>
    </xf>
    <xf numFmtId="9" fontId="2" fillId="0" borderId="2" xfId="1" applyFont="1" applyFill="1" applyBorder="1" applyAlignment="1">
      <alignment horizontal="left" vertical="top" wrapText="1"/>
    </xf>
    <xf numFmtId="9" fontId="1" fillId="0" borderId="3" xfId="1" applyFont="1" applyFill="1" applyBorder="1" applyAlignment="1">
      <alignment horizontal="center" vertical="center" wrapText="1"/>
    </xf>
    <xf numFmtId="9" fontId="1" fillId="0" borderId="2" xfId="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9" fontId="1" fillId="2" borderId="3" xfId="1" applyNumberFormat="1" applyFont="1" applyFill="1" applyBorder="1" applyAlignment="1">
      <alignment horizontal="center" vertical="center"/>
    </xf>
    <xf numFmtId="9" fontId="1" fillId="2" borderId="2" xfId="1" applyNumberFormat="1" applyFont="1" applyFill="1" applyBorder="1" applyAlignment="1">
      <alignment horizontal="center" vertical="center"/>
    </xf>
    <xf numFmtId="0" fontId="1" fillId="2" borderId="1"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9" fontId="1" fillId="2" borderId="5" xfId="1" applyNumberFormat="1" applyFont="1" applyFill="1" applyBorder="1" applyAlignment="1">
      <alignment horizontal="center" vertical="center"/>
    </xf>
    <xf numFmtId="0" fontId="1" fillId="2"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7" fillId="0" borderId="1" xfId="0" applyFont="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colors>
    <mruColors>
      <color rgb="FFF0F9FA"/>
      <color rgb="FFF0F0F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1341904</xdr:colOff>
      <xdr:row>0</xdr:row>
      <xdr:rowOff>135031</xdr:rowOff>
    </xdr:from>
    <xdr:to>
      <xdr:col>5</xdr:col>
      <xdr:colOff>798979</xdr:colOff>
      <xdr:row>1</xdr:row>
      <xdr:rowOff>382681</xdr:rowOff>
    </xdr:to>
    <xdr:pic>
      <xdr:nvPicPr>
        <xdr:cNvPr id="10366"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894" b="18439"/>
        <a:stretch>
          <a:fillRect/>
        </a:stretch>
      </xdr:blipFill>
      <xdr:spPr bwMode="auto">
        <a:xfrm>
          <a:off x="4838139" y="135031"/>
          <a:ext cx="1933575" cy="785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1309967</xdr:colOff>
      <xdr:row>0</xdr:row>
      <xdr:rowOff>168649</xdr:rowOff>
    </xdr:from>
    <xdr:to>
      <xdr:col>5</xdr:col>
      <xdr:colOff>767042</xdr:colOff>
      <xdr:row>1</xdr:row>
      <xdr:rowOff>286310</xdr:rowOff>
    </xdr:to>
    <xdr:pic>
      <xdr:nvPicPr>
        <xdr:cNvPr id="3"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894" b="18439"/>
        <a:stretch>
          <a:fillRect/>
        </a:stretch>
      </xdr:blipFill>
      <xdr:spPr bwMode="auto">
        <a:xfrm>
          <a:off x="4929467" y="168649"/>
          <a:ext cx="1933575" cy="778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828955</xdr:colOff>
      <xdr:row>0</xdr:row>
      <xdr:rowOff>275806</xdr:rowOff>
    </xdr:from>
    <xdr:to>
      <xdr:col>5</xdr:col>
      <xdr:colOff>1081088</xdr:colOff>
      <xdr:row>2</xdr:row>
      <xdr:rowOff>154782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894" b="18439"/>
        <a:stretch>
          <a:fillRect/>
        </a:stretch>
      </xdr:blipFill>
      <xdr:spPr bwMode="auto">
        <a:xfrm>
          <a:off x="4448455" y="275806"/>
          <a:ext cx="2728633" cy="1188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828955</xdr:colOff>
      <xdr:row>0</xdr:row>
      <xdr:rowOff>275806</xdr:rowOff>
    </xdr:from>
    <xdr:to>
      <xdr:col>4</xdr:col>
      <xdr:colOff>1524866</xdr:colOff>
      <xdr:row>2</xdr:row>
      <xdr:rowOff>154782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894" b="18439"/>
        <a:stretch>
          <a:fillRect/>
        </a:stretch>
      </xdr:blipFill>
      <xdr:spPr bwMode="auto">
        <a:xfrm>
          <a:off x="4448455" y="275806"/>
          <a:ext cx="2728633" cy="119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Invima">
      <a:dk1>
        <a:srgbClr val="7F7F7F"/>
      </a:dk1>
      <a:lt1>
        <a:sysClr val="window" lastClr="FFFFFF"/>
      </a:lt1>
      <a:dk2>
        <a:srgbClr val="455F51"/>
      </a:dk2>
      <a:lt2>
        <a:srgbClr val="E3DED1"/>
      </a:lt2>
      <a:accent1>
        <a:srgbClr val="549E39"/>
      </a:accent1>
      <a:accent2>
        <a:srgbClr val="8AB833"/>
      </a:accent2>
      <a:accent3>
        <a:srgbClr val="33CC33"/>
      </a:accent3>
      <a:accent4>
        <a:srgbClr val="029676"/>
      </a:accent4>
      <a:accent5>
        <a:srgbClr val="4AB5C4"/>
      </a:accent5>
      <a:accent6>
        <a:srgbClr val="0989B1"/>
      </a:accent6>
      <a:hlink>
        <a:srgbClr val="6B9F25"/>
      </a:hlink>
      <a:folHlink>
        <a:srgbClr val="BA6906"/>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3"/>
  <sheetViews>
    <sheetView topLeftCell="O43" zoomScale="85" zoomScaleNormal="85" workbookViewId="0">
      <selection activeCell="S54" sqref="S54:S59"/>
    </sheetView>
  </sheetViews>
  <sheetFormatPr baseColWidth="10" defaultColWidth="0" defaultRowHeight="11.25" x14ac:dyDescent="0.25"/>
  <cols>
    <col min="1" max="1" width="11.42578125" style="21" customWidth="1"/>
    <col min="2" max="2" width="22.140625" style="21" customWidth="1"/>
    <col min="3" max="3" width="20.85546875" style="21" customWidth="1"/>
    <col min="4" max="4" width="21" style="21" customWidth="1"/>
    <col min="5" max="5" width="16.140625" style="46" customWidth="1"/>
    <col min="6" max="6" width="23.7109375" style="47" customWidth="1"/>
    <col min="7" max="7" width="23.7109375" style="48" customWidth="1"/>
    <col min="8" max="8" width="15.7109375" style="48" customWidth="1"/>
    <col min="9" max="9" width="5.28515625" style="48" customWidth="1"/>
    <col min="10" max="13" width="5.28515625" style="49" customWidth="1"/>
    <col min="14" max="14" width="8.5703125" style="46" customWidth="1"/>
    <col min="15" max="15" width="28.28515625" style="50" customWidth="1"/>
    <col min="16" max="19" width="8.5703125" style="48" customWidth="1"/>
    <col min="20" max="23" width="37.85546875" style="49" customWidth="1"/>
    <col min="24" max="24" width="65.7109375" style="51" customWidth="1"/>
    <col min="25" max="25" width="98" style="51" customWidth="1"/>
    <col min="26" max="26" width="40.7109375" style="51" customWidth="1"/>
    <col min="27" max="27" width="9.28515625" style="51" customWidth="1"/>
    <col min="28" max="28" width="10" style="51" customWidth="1"/>
    <col min="29" max="29" width="9.5703125" style="51" customWidth="1"/>
    <col min="30" max="256" width="0" style="51" hidden="1" customWidth="1"/>
    <col min="257" max="16384" width="2.140625" style="51" hidden="1"/>
  </cols>
  <sheetData>
    <row r="1" spans="1:29" s="24" customFormat="1" ht="42" customHeight="1" x14ac:dyDescent="0.25">
      <c r="A1" s="289" t="s">
        <v>109</v>
      </c>
      <c r="B1" s="289"/>
      <c r="C1" s="289"/>
      <c r="D1" s="289"/>
      <c r="F1" s="58"/>
      <c r="G1" s="58"/>
      <c r="H1" s="58"/>
      <c r="I1" s="58"/>
      <c r="J1" s="58"/>
      <c r="K1" s="58"/>
      <c r="L1" s="58"/>
      <c r="M1" s="58"/>
      <c r="N1" s="58"/>
      <c r="O1" s="58"/>
      <c r="P1" s="79"/>
      <c r="Q1" s="79"/>
      <c r="R1" s="79"/>
      <c r="S1" s="79"/>
      <c r="T1" s="58"/>
      <c r="U1" s="58"/>
      <c r="V1" s="58"/>
      <c r="W1" s="58"/>
      <c r="X1" s="58"/>
      <c r="Y1" s="58"/>
      <c r="Z1" s="58"/>
      <c r="AA1" s="58"/>
      <c r="AB1" s="58"/>
      <c r="AC1" s="58"/>
    </row>
    <row r="2" spans="1:29" s="24" customFormat="1" ht="42" customHeight="1" x14ac:dyDescent="0.25">
      <c r="A2" s="289"/>
      <c r="B2" s="289"/>
      <c r="C2" s="289"/>
      <c r="D2" s="289"/>
      <c r="F2" s="58"/>
      <c r="G2" s="58"/>
      <c r="H2" s="58"/>
      <c r="I2" s="58"/>
      <c r="J2" s="58"/>
      <c r="K2" s="58"/>
      <c r="L2" s="58"/>
      <c r="M2" s="58"/>
      <c r="N2" s="58"/>
      <c r="O2" s="58"/>
      <c r="P2" s="80"/>
      <c r="Q2" s="80"/>
      <c r="R2" s="80"/>
      <c r="S2" s="80"/>
      <c r="T2" s="58"/>
      <c r="U2" s="58"/>
      <c r="V2" s="58"/>
      <c r="W2" s="58"/>
      <c r="X2" s="58"/>
      <c r="Y2" s="58"/>
      <c r="Z2" s="58"/>
      <c r="AA2" s="58"/>
      <c r="AB2" s="58"/>
      <c r="AC2" s="58"/>
    </row>
    <row r="3" spans="1:29" s="24" customFormat="1" ht="42" customHeight="1" x14ac:dyDescent="0.25">
      <c r="A3" s="288" t="s">
        <v>649</v>
      </c>
      <c r="B3" s="288"/>
      <c r="C3" s="288"/>
      <c r="D3" s="80"/>
      <c r="F3" s="58"/>
      <c r="G3" s="58"/>
      <c r="H3" s="58"/>
      <c r="I3" s="58"/>
      <c r="J3" s="58"/>
      <c r="K3" s="58"/>
      <c r="L3" s="58"/>
      <c r="M3" s="58"/>
      <c r="N3" s="58"/>
      <c r="O3" s="58"/>
      <c r="P3" s="79"/>
      <c r="Q3" s="79"/>
      <c r="R3" s="79"/>
      <c r="S3" s="79"/>
      <c r="T3" s="58"/>
      <c r="U3" s="58"/>
      <c r="V3" s="58"/>
      <c r="W3" s="58"/>
      <c r="X3" s="58"/>
      <c r="Y3" s="58"/>
      <c r="Z3" s="58"/>
      <c r="AA3" s="58"/>
      <c r="AB3" s="58"/>
      <c r="AC3" s="58"/>
    </row>
    <row r="4" spans="1:29" s="25" customFormat="1" ht="27.75" customHeight="1" x14ac:dyDescent="0.25">
      <c r="A4" s="290" t="s">
        <v>94</v>
      </c>
      <c r="B4" s="290"/>
      <c r="C4" s="290"/>
      <c r="D4" s="290"/>
      <c r="E4" s="290"/>
      <c r="F4" s="290"/>
      <c r="G4" s="290"/>
      <c r="H4" s="290" t="s">
        <v>92</v>
      </c>
      <c r="I4" s="290"/>
      <c r="J4" s="290"/>
      <c r="K4" s="290"/>
      <c r="L4" s="290"/>
      <c r="M4" s="290"/>
      <c r="N4" s="290"/>
      <c r="O4" s="290"/>
      <c r="P4" s="291" t="s">
        <v>316</v>
      </c>
      <c r="Q4" s="291"/>
      <c r="R4" s="291"/>
      <c r="S4" s="291"/>
      <c r="T4" s="291" t="s">
        <v>317</v>
      </c>
      <c r="U4" s="291"/>
      <c r="V4" s="291"/>
      <c r="W4" s="291"/>
      <c r="X4" s="292" t="s">
        <v>91</v>
      </c>
      <c r="Y4" s="292"/>
      <c r="Z4" s="292"/>
      <c r="AA4" s="292" t="s">
        <v>318</v>
      </c>
      <c r="AB4" s="292"/>
      <c r="AC4" s="292"/>
    </row>
    <row r="5" spans="1:29" s="36" customFormat="1" ht="27" x14ac:dyDescent="0.25">
      <c r="A5" s="27" t="s">
        <v>624</v>
      </c>
      <c r="B5" s="27" t="s">
        <v>625</v>
      </c>
      <c r="C5" s="27" t="s">
        <v>626</v>
      </c>
      <c r="D5" s="27" t="s">
        <v>627</v>
      </c>
      <c r="E5" s="26" t="s">
        <v>95</v>
      </c>
      <c r="F5" s="27" t="s">
        <v>104</v>
      </c>
      <c r="G5" s="27" t="s">
        <v>103</v>
      </c>
      <c r="H5" s="28" t="s">
        <v>102</v>
      </c>
      <c r="I5" s="28" t="s">
        <v>101</v>
      </c>
      <c r="J5" s="29" t="s">
        <v>105</v>
      </c>
      <c r="K5" s="29" t="s">
        <v>106</v>
      </c>
      <c r="L5" s="29" t="s">
        <v>107</v>
      </c>
      <c r="M5" s="29" t="s">
        <v>108</v>
      </c>
      <c r="N5" s="29" t="s">
        <v>96</v>
      </c>
      <c r="O5" s="30" t="s">
        <v>319</v>
      </c>
      <c r="P5" s="31" t="s">
        <v>88</v>
      </c>
      <c r="Q5" s="31" t="s">
        <v>100</v>
      </c>
      <c r="R5" s="31" t="s">
        <v>89</v>
      </c>
      <c r="S5" s="31" t="s">
        <v>90</v>
      </c>
      <c r="T5" s="32" t="s">
        <v>88</v>
      </c>
      <c r="U5" s="32" t="s">
        <v>100</v>
      </c>
      <c r="V5" s="32" t="s">
        <v>89</v>
      </c>
      <c r="W5" s="32" t="s">
        <v>89</v>
      </c>
      <c r="X5" s="33" t="s">
        <v>97</v>
      </c>
      <c r="Y5" s="33" t="s">
        <v>98</v>
      </c>
      <c r="Z5" s="34" t="s">
        <v>99</v>
      </c>
      <c r="AA5" s="35" t="s">
        <v>100</v>
      </c>
      <c r="AB5" s="35" t="s">
        <v>89</v>
      </c>
      <c r="AC5" s="35" t="s">
        <v>90</v>
      </c>
    </row>
    <row r="6" spans="1:29" s="39" customFormat="1" ht="18" customHeight="1" x14ac:dyDescent="0.25">
      <c r="A6" s="236" t="s">
        <v>628</v>
      </c>
      <c r="B6" s="236" t="s">
        <v>629</v>
      </c>
      <c r="C6" s="236" t="s">
        <v>630</v>
      </c>
      <c r="D6" s="250" t="s">
        <v>623</v>
      </c>
      <c r="E6" s="247" t="s">
        <v>30</v>
      </c>
      <c r="F6" s="244" t="s">
        <v>0</v>
      </c>
      <c r="G6" s="244" t="s">
        <v>1</v>
      </c>
      <c r="H6" s="263" t="s">
        <v>93</v>
      </c>
      <c r="I6" s="264">
        <v>0</v>
      </c>
      <c r="J6" s="264">
        <v>0.25</v>
      </c>
      <c r="K6" s="264">
        <v>0.25</v>
      </c>
      <c r="L6" s="264">
        <v>0.25</v>
      </c>
      <c r="M6" s="264">
        <v>0.25</v>
      </c>
      <c r="N6" s="270">
        <v>1</v>
      </c>
      <c r="O6" s="263" t="s">
        <v>32</v>
      </c>
      <c r="P6" s="285">
        <f>+J6*18%</f>
        <v>4.4999999999999998E-2</v>
      </c>
      <c r="Q6" s="285">
        <f>0.25*39%</f>
        <v>9.7500000000000003E-2</v>
      </c>
      <c r="R6" s="285">
        <f>0.25*64%</f>
        <v>0.16</v>
      </c>
      <c r="S6" s="285">
        <f>0.25*96%</f>
        <v>0.24</v>
      </c>
      <c r="T6" s="264" t="s">
        <v>320</v>
      </c>
      <c r="U6" s="264" t="s">
        <v>321</v>
      </c>
      <c r="V6" s="264" t="s">
        <v>322</v>
      </c>
      <c r="W6" s="264" t="s">
        <v>323</v>
      </c>
      <c r="X6" s="37" t="s">
        <v>324</v>
      </c>
      <c r="Y6" s="37" t="s">
        <v>56</v>
      </c>
      <c r="Z6" s="37" t="s">
        <v>59</v>
      </c>
      <c r="AA6" s="38">
        <v>0.34</v>
      </c>
      <c r="AB6" s="38">
        <v>0.72</v>
      </c>
      <c r="AC6" s="38">
        <v>1</v>
      </c>
    </row>
    <row r="7" spans="1:29" s="39" customFormat="1" ht="18" customHeight="1" x14ac:dyDescent="0.25">
      <c r="A7" s="237"/>
      <c r="B7" s="237"/>
      <c r="C7" s="237"/>
      <c r="D7" s="250"/>
      <c r="E7" s="248"/>
      <c r="F7" s="245"/>
      <c r="G7" s="245"/>
      <c r="H7" s="263"/>
      <c r="I7" s="264"/>
      <c r="J7" s="264"/>
      <c r="K7" s="264"/>
      <c r="L7" s="264"/>
      <c r="M7" s="264"/>
      <c r="N7" s="271"/>
      <c r="O7" s="263"/>
      <c r="P7" s="286"/>
      <c r="Q7" s="286"/>
      <c r="R7" s="286"/>
      <c r="S7" s="286"/>
      <c r="T7" s="264"/>
      <c r="U7" s="264" t="s">
        <v>325</v>
      </c>
      <c r="V7" s="264" t="s">
        <v>326</v>
      </c>
      <c r="W7" s="264" t="s">
        <v>327</v>
      </c>
      <c r="X7" s="40" t="s">
        <v>328</v>
      </c>
      <c r="Y7" s="40" t="s">
        <v>329</v>
      </c>
      <c r="Z7" s="40" t="s">
        <v>330</v>
      </c>
      <c r="AA7" s="41">
        <v>0.02</v>
      </c>
      <c r="AB7" s="41">
        <v>0.62</v>
      </c>
      <c r="AC7" s="41">
        <v>1</v>
      </c>
    </row>
    <row r="8" spans="1:29" s="39" customFormat="1" ht="9" customHeight="1" x14ac:dyDescent="0.25">
      <c r="A8" s="237"/>
      <c r="B8" s="237"/>
      <c r="C8" s="237"/>
      <c r="D8" s="250"/>
      <c r="E8" s="248"/>
      <c r="F8" s="245"/>
      <c r="G8" s="245"/>
      <c r="H8" s="263"/>
      <c r="I8" s="264"/>
      <c r="J8" s="264"/>
      <c r="K8" s="264"/>
      <c r="L8" s="264"/>
      <c r="M8" s="264"/>
      <c r="N8" s="271"/>
      <c r="O8" s="263"/>
      <c r="P8" s="286"/>
      <c r="Q8" s="286"/>
      <c r="R8" s="286"/>
      <c r="S8" s="286"/>
      <c r="T8" s="264"/>
      <c r="U8" s="264" t="s">
        <v>331</v>
      </c>
      <c r="V8" s="264" t="s">
        <v>332</v>
      </c>
      <c r="W8" s="264" t="s">
        <v>333</v>
      </c>
      <c r="X8" s="40" t="s">
        <v>334</v>
      </c>
      <c r="Y8" s="40" t="s">
        <v>57</v>
      </c>
      <c r="Z8" s="40" t="s">
        <v>335</v>
      </c>
      <c r="AA8" s="41">
        <v>0.57999999999999996</v>
      </c>
      <c r="AB8" s="41">
        <v>0.8</v>
      </c>
      <c r="AC8" s="41">
        <v>1</v>
      </c>
    </row>
    <row r="9" spans="1:29" s="39" customFormat="1" ht="18" x14ac:dyDescent="0.25">
      <c r="A9" s="237"/>
      <c r="B9" s="237"/>
      <c r="C9" s="237"/>
      <c r="D9" s="250"/>
      <c r="E9" s="248"/>
      <c r="F9" s="245"/>
      <c r="G9" s="245"/>
      <c r="H9" s="263"/>
      <c r="I9" s="264"/>
      <c r="J9" s="264"/>
      <c r="K9" s="264"/>
      <c r="L9" s="264"/>
      <c r="M9" s="264"/>
      <c r="N9" s="271"/>
      <c r="O9" s="263"/>
      <c r="P9" s="286"/>
      <c r="Q9" s="286"/>
      <c r="R9" s="286"/>
      <c r="S9" s="286"/>
      <c r="T9" s="264"/>
      <c r="U9" s="264" t="s">
        <v>336</v>
      </c>
      <c r="V9" s="264" t="s">
        <v>337</v>
      </c>
      <c r="W9" s="264" t="s">
        <v>338</v>
      </c>
      <c r="X9" s="40" t="s">
        <v>339</v>
      </c>
      <c r="Y9" s="40" t="s">
        <v>340</v>
      </c>
      <c r="Z9" s="40" t="s">
        <v>60</v>
      </c>
      <c r="AA9" s="41">
        <v>0.35</v>
      </c>
      <c r="AB9" s="41">
        <v>0.49</v>
      </c>
      <c r="AC9" s="41">
        <v>1</v>
      </c>
    </row>
    <row r="10" spans="1:29" s="39" customFormat="1" ht="9" customHeight="1" x14ac:dyDescent="0.25">
      <c r="A10" s="237"/>
      <c r="B10" s="237"/>
      <c r="C10" s="237"/>
      <c r="D10" s="250"/>
      <c r="E10" s="248"/>
      <c r="F10" s="245"/>
      <c r="G10" s="245"/>
      <c r="H10" s="263"/>
      <c r="I10" s="264"/>
      <c r="J10" s="264"/>
      <c r="K10" s="264"/>
      <c r="L10" s="264"/>
      <c r="M10" s="264"/>
      <c r="N10" s="271"/>
      <c r="O10" s="263"/>
      <c r="P10" s="286"/>
      <c r="Q10" s="286"/>
      <c r="R10" s="286"/>
      <c r="S10" s="286"/>
      <c r="T10" s="264"/>
      <c r="U10" s="264" t="s">
        <v>341</v>
      </c>
      <c r="V10" s="264" t="s">
        <v>342</v>
      </c>
      <c r="W10" s="264" t="s">
        <v>343</v>
      </c>
      <c r="X10" s="40" t="s">
        <v>344</v>
      </c>
      <c r="Y10" s="40" t="s">
        <v>58</v>
      </c>
      <c r="Z10" s="40" t="s">
        <v>61</v>
      </c>
      <c r="AA10" s="41">
        <v>0.26</v>
      </c>
      <c r="AB10" s="41">
        <v>0.56000000000000005</v>
      </c>
      <c r="AC10" s="41">
        <v>0.82</v>
      </c>
    </row>
    <row r="11" spans="1:29" s="39" customFormat="1" ht="9" customHeight="1" x14ac:dyDescent="0.25">
      <c r="A11" s="237"/>
      <c r="B11" s="237"/>
      <c r="C11" s="238"/>
      <c r="D11" s="250"/>
      <c r="E11" s="248"/>
      <c r="F11" s="245"/>
      <c r="G11" s="246"/>
      <c r="H11" s="263"/>
      <c r="I11" s="264"/>
      <c r="J11" s="264"/>
      <c r="K11" s="264"/>
      <c r="L11" s="264"/>
      <c r="M11" s="264"/>
      <c r="N11" s="271"/>
      <c r="O11" s="263"/>
      <c r="P11" s="286"/>
      <c r="Q11" s="286"/>
      <c r="R11" s="286"/>
      <c r="S11" s="286"/>
      <c r="T11" s="264"/>
      <c r="U11" s="264" t="s">
        <v>345</v>
      </c>
      <c r="V11" s="264" t="s">
        <v>346</v>
      </c>
      <c r="W11" s="264" t="s">
        <v>347</v>
      </c>
      <c r="X11" s="40" t="s">
        <v>348</v>
      </c>
      <c r="Y11" s="40" t="s">
        <v>349</v>
      </c>
      <c r="Z11" s="40" t="s">
        <v>61</v>
      </c>
      <c r="AA11" s="41">
        <v>0.33</v>
      </c>
      <c r="AB11" s="41">
        <v>0.63</v>
      </c>
      <c r="AC11" s="41">
        <v>0.96</v>
      </c>
    </row>
    <row r="12" spans="1:29" s="39" customFormat="1" ht="18" customHeight="1" x14ac:dyDescent="0.25">
      <c r="A12" s="237"/>
      <c r="B12" s="237"/>
      <c r="C12" s="236" t="s">
        <v>631</v>
      </c>
      <c r="D12" s="256" t="s">
        <v>632</v>
      </c>
      <c r="E12" s="248"/>
      <c r="F12" s="245"/>
      <c r="G12" s="244" t="s">
        <v>2</v>
      </c>
      <c r="H12" s="263"/>
      <c r="I12" s="264"/>
      <c r="J12" s="264"/>
      <c r="K12" s="264"/>
      <c r="L12" s="264"/>
      <c r="M12" s="264"/>
      <c r="N12" s="271"/>
      <c r="O12" s="263"/>
      <c r="P12" s="286"/>
      <c r="Q12" s="286"/>
      <c r="R12" s="286"/>
      <c r="S12" s="286"/>
      <c r="T12" s="264"/>
      <c r="U12" s="264" t="s">
        <v>350</v>
      </c>
      <c r="V12" s="264" t="s">
        <v>351</v>
      </c>
      <c r="W12" s="264" t="s">
        <v>352</v>
      </c>
      <c r="X12" s="40" t="s">
        <v>353</v>
      </c>
      <c r="Y12" s="40" t="s">
        <v>354</v>
      </c>
      <c r="Z12" s="40" t="s">
        <v>355</v>
      </c>
      <c r="AA12" s="41">
        <v>0.33</v>
      </c>
      <c r="AB12" s="41">
        <v>0.55000000000000004</v>
      </c>
      <c r="AC12" s="41">
        <v>1</v>
      </c>
    </row>
    <row r="13" spans="1:29" s="39" customFormat="1" ht="18" customHeight="1" x14ac:dyDescent="0.25">
      <c r="A13" s="237"/>
      <c r="B13" s="237"/>
      <c r="C13" s="237"/>
      <c r="D13" s="257"/>
      <c r="E13" s="248"/>
      <c r="F13" s="245"/>
      <c r="G13" s="245"/>
      <c r="H13" s="263"/>
      <c r="I13" s="264"/>
      <c r="J13" s="264"/>
      <c r="K13" s="264"/>
      <c r="L13" s="264"/>
      <c r="M13" s="264"/>
      <c r="N13" s="271"/>
      <c r="O13" s="263"/>
      <c r="P13" s="286"/>
      <c r="Q13" s="286"/>
      <c r="R13" s="286"/>
      <c r="S13" s="286"/>
      <c r="T13" s="264"/>
      <c r="U13" s="264" t="s">
        <v>356</v>
      </c>
      <c r="V13" s="264" t="s">
        <v>357</v>
      </c>
      <c r="W13" s="264" t="s">
        <v>358</v>
      </c>
      <c r="X13" s="40" t="s">
        <v>359</v>
      </c>
      <c r="Y13" s="40" t="s">
        <v>360</v>
      </c>
      <c r="Z13" s="40" t="s">
        <v>355</v>
      </c>
      <c r="AA13" s="41">
        <v>0.49</v>
      </c>
      <c r="AB13" s="41">
        <v>0.89</v>
      </c>
      <c r="AC13" s="41">
        <v>1</v>
      </c>
    </row>
    <row r="14" spans="1:29" s="39" customFormat="1" ht="27" x14ac:dyDescent="0.25">
      <c r="A14" s="237"/>
      <c r="B14" s="237"/>
      <c r="C14" s="237"/>
      <c r="D14" s="257"/>
      <c r="E14" s="248"/>
      <c r="F14" s="245"/>
      <c r="G14" s="245"/>
      <c r="H14" s="263"/>
      <c r="I14" s="264"/>
      <c r="J14" s="264"/>
      <c r="K14" s="264"/>
      <c r="L14" s="264"/>
      <c r="M14" s="264"/>
      <c r="N14" s="271"/>
      <c r="O14" s="263"/>
      <c r="P14" s="286"/>
      <c r="Q14" s="286"/>
      <c r="R14" s="286"/>
      <c r="S14" s="286"/>
      <c r="T14" s="264"/>
      <c r="U14" s="264" t="s">
        <v>361</v>
      </c>
      <c r="V14" s="264" t="s">
        <v>362</v>
      </c>
      <c r="W14" s="264" t="s">
        <v>363</v>
      </c>
      <c r="X14" s="40" t="s">
        <v>364</v>
      </c>
      <c r="Y14" s="40" t="s">
        <v>365</v>
      </c>
      <c r="Z14" s="40" t="s">
        <v>62</v>
      </c>
      <c r="AA14" s="41">
        <v>0.54</v>
      </c>
      <c r="AB14" s="41">
        <v>0.76</v>
      </c>
      <c r="AC14" s="41">
        <v>1</v>
      </c>
    </row>
    <row r="15" spans="1:29" s="39" customFormat="1" ht="27" x14ac:dyDescent="0.25">
      <c r="A15" s="237"/>
      <c r="B15" s="237"/>
      <c r="C15" s="237"/>
      <c r="D15" s="257"/>
      <c r="E15" s="248"/>
      <c r="F15" s="245"/>
      <c r="G15" s="245"/>
      <c r="H15" s="263"/>
      <c r="I15" s="264"/>
      <c r="J15" s="264"/>
      <c r="K15" s="264"/>
      <c r="L15" s="264"/>
      <c r="M15" s="264"/>
      <c r="N15" s="271"/>
      <c r="O15" s="263"/>
      <c r="P15" s="286"/>
      <c r="Q15" s="286"/>
      <c r="R15" s="286"/>
      <c r="S15" s="286"/>
      <c r="T15" s="264"/>
      <c r="U15" s="264" t="s">
        <v>366</v>
      </c>
      <c r="V15" s="264" t="s">
        <v>367</v>
      </c>
      <c r="W15" s="264" t="s">
        <v>368</v>
      </c>
      <c r="X15" s="40" t="s">
        <v>369</v>
      </c>
      <c r="Y15" s="40" t="s">
        <v>370</v>
      </c>
      <c r="Z15" s="40" t="s">
        <v>62</v>
      </c>
      <c r="AA15" s="41">
        <v>0.47</v>
      </c>
      <c r="AB15" s="41">
        <v>0.53</v>
      </c>
      <c r="AC15" s="41">
        <v>1</v>
      </c>
    </row>
    <row r="16" spans="1:29" s="39" customFormat="1" ht="27" x14ac:dyDescent="0.25">
      <c r="A16" s="237"/>
      <c r="B16" s="237"/>
      <c r="C16" s="237"/>
      <c r="D16" s="257"/>
      <c r="E16" s="248"/>
      <c r="F16" s="245"/>
      <c r="G16" s="245"/>
      <c r="H16" s="263"/>
      <c r="I16" s="264"/>
      <c r="J16" s="264"/>
      <c r="K16" s="264"/>
      <c r="L16" s="264"/>
      <c r="M16" s="264"/>
      <c r="N16" s="271"/>
      <c r="O16" s="263"/>
      <c r="P16" s="286"/>
      <c r="Q16" s="286"/>
      <c r="R16" s="286"/>
      <c r="S16" s="286"/>
      <c r="T16" s="264"/>
      <c r="U16" s="264" t="s">
        <v>371</v>
      </c>
      <c r="V16" s="264" t="s">
        <v>372</v>
      </c>
      <c r="W16" s="264" t="s">
        <v>373</v>
      </c>
      <c r="X16" s="40" t="s">
        <v>374</v>
      </c>
      <c r="Y16" s="40" t="s">
        <v>375</v>
      </c>
      <c r="Z16" s="40" t="s">
        <v>62</v>
      </c>
      <c r="AA16" s="41">
        <v>0.44</v>
      </c>
      <c r="AB16" s="41">
        <v>0.54</v>
      </c>
      <c r="AC16" s="41">
        <v>0.79</v>
      </c>
    </row>
    <row r="17" spans="1:29" s="39" customFormat="1" ht="9" customHeight="1" x14ac:dyDescent="0.25">
      <c r="A17" s="237"/>
      <c r="B17" s="237"/>
      <c r="C17" s="237"/>
      <c r="D17" s="257"/>
      <c r="E17" s="248"/>
      <c r="F17" s="245"/>
      <c r="G17" s="246"/>
      <c r="H17" s="261"/>
      <c r="I17" s="265"/>
      <c r="J17" s="265"/>
      <c r="K17" s="265"/>
      <c r="L17" s="265"/>
      <c r="M17" s="265"/>
      <c r="N17" s="275"/>
      <c r="O17" s="261"/>
      <c r="P17" s="287"/>
      <c r="Q17" s="287"/>
      <c r="R17" s="287"/>
      <c r="S17" s="287"/>
      <c r="T17" s="265"/>
      <c r="U17" s="265" t="s">
        <v>376</v>
      </c>
      <c r="V17" s="265" t="s">
        <v>377</v>
      </c>
      <c r="W17" s="265" t="s">
        <v>378</v>
      </c>
      <c r="X17" s="40" t="s">
        <v>379</v>
      </c>
      <c r="Y17" s="40" t="s">
        <v>380</v>
      </c>
      <c r="Z17" s="40" t="s">
        <v>62</v>
      </c>
      <c r="AA17" s="41">
        <v>0.24</v>
      </c>
      <c r="AB17" s="41">
        <v>0.32</v>
      </c>
      <c r="AC17" s="41">
        <v>1</v>
      </c>
    </row>
    <row r="18" spans="1:29" s="39" customFormat="1" ht="18" customHeight="1" x14ac:dyDescent="0.25">
      <c r="A18" s="237"/>
      <c r="B18" s="237"/>
      <c r="C18" s="237"/>
      <c r="D18" s="257"/>
      <c r="E18" s="248"/>
      <c r="F18" s="245"/>
      <c r="G18" s="244" t="s">
        <v>3</v>
      </c>
      <c r="H18" s="260" t="s">
        <v>87</v>
      </c>
      <c r="I18" s="260">
        <v>0</v>
      </c>
      <c r="J18" s="269">
        <v>0.25</v>
      </c>
      <c r="K18" s="269">
        <v>0.25</v>
      </c>
      <c r="L18" s="269">
        <v>0.25</v>
      </c>
      <c r="M18" s="269">
        <v>0.25</v>
      </c>
      <c r="N18" s="270">
        <v>1</v>
      </c>
      <c r="O18" s="260" t="s">
        <v>33</v>
      </c>
      <c r="P18" s="285">
        <f>+J18*13%</f>
        <v>3.2500000000000001E-2</v>
      </c>
      <c r="Q18" s="285">
        <f>+K18*35%</f>
        <v>8.7499999999999994E-2</v>
      </c>
      <c r="R18" s="285">
        <f>+L18*42%</f>
        <v>0.105</v>
      </c>
      <c r="S18" s="285">
        <f>+M18*88%</f>
        <v>0.22</v>
      </c>
      <c r="T18" s="269" t="s">
        <v>381</v>
      </c>
      <c r="U18" s="269" t="s">
        <v>382</v>
      </c>
      <c r="V18" s="269" t="s">
        <v>383</v>
      </c>
      <c r="W18" s="269" t="s">
        <v>384</v>
      </c>
      <c r="X18" s="40" t="s">
        <v>385</v>
      </c>
      <c r="Y18" s="40" t="s">
        <v>386</v>
      </c>
      <c r="Z18" s="40" t="s">
        <v>63</v>
      </c>
      <c r="AA18" s="41">
        <v>0.28999999999999998</v>
      </c>
      <c r="AB18" s="41">
        <v>0.45</v>
      </c>
      <c r="AC18" s="41">
        <v>1</v>
      </c>
    </row>
    <row r="19" spans="1:29" s="39" customFormat="1" ht="9" customHeight="1" x14ac:dyDescent="0.25">
      <c r="A19" s="237"/>
      <c r="B19" s="237"/>
      <c r="C19" s="237"/>
      <c r="D19" s="257"/>
      <c r="E19" s="248"/>
      <c r="F19" s="245"/>
      <c r="G19" s="245"/>
      <c r="H19" s="263"/>
      <c r="I19" s="263"/>
      <c r="J19" s="264"/>
      <c r="K19" s="264"/>
      <c r="L19" s="264"/>
      <c r="M19" s="264"/>
      <c r="N19" s="271"/>
      <c r="O19" s="263"/>
      <c r="P19" s="286"/>
      <c r="Q19" s="286"/>
      <c r="R19" s="286"/>
      <c r="S19" s="286"/>
      <c r="T19" s="264"/>
      <c r="U19" s="264"/>
      <c r="V19" s="264"/>
      <c r="W19" s="264" t="s">
        <v>387</v>
      </c>
      <c r="X19" s="40" t="s">
        <v>388</v>
      </c>
      <c r="Y19" s="282" t="s">
        <v>389</v>
      </c>
      <c r="Z19" s="40" t="s">
        <v>63</v>
      </c>
      <c r="AA19" s="41">
        <v>0.39</v>
      </c>
      <c r="AB19" s="41">
        <v>0.52</v>
      </c>
      <c r="AC19" s="41">
        <v>1</v>
      </c>
    </row>
    <row r="20" spans="1:29" s="39" customFormat="1" ht="9" customHeight="1" x14ac:dyDescent="0.25">
      <c r="A20" s="237"/>
      <c r="B20" s="237"/>
      <c r="C20" s="237"/>
      <c r="D20" s="257"/>
      <c r="E20" s="248"/>
      <c r="F20" s="245"/>
      <c r="G20" s="245"/>
      <c r="H20" s="263"/>
      <c r="I20" s="263"/>
      <c r="J20" s="264"/>
      <c r="K20" s="264"/>
      <c r="L20" s="264"/>
      <c r="M20" s="264"/>
      <c r="N20" s="271"/>
      <c r="O20" s="263"/>
      <c r="P20" s="286"/>
      <c r="Q20" s="286"/>
      <c r="R20" s="286"/>
      <c r="S20" s="286"/>
      <c r="T20" s="264"/>
      <c r="U20" s="264"/>
      <c r="V20" s="264"/>
      <c r="W20" s="264" t="s">
        <v>390</v>
      </c>
      <c r="X20" s="40" t="s">
        <v>391</v>
      </c>
      <c r="Y20" s="283"/>
      <c r="Z20" s="40" t="s">
        <v>63</v>
      </c>
      <c r="AA20" s="41">
        <v>0.61</v>
      </c>
      <c r="AB20" s="41">
        <v>0.31</v>
      </c>
      <c r="AC20" s="41">
        <v>1</v>
      </c>
    </row>
    <row r="21" spans="1:29" s="39" customFormat="1" ht="9" customHeight="1" x14ac:dyDescent="0.25">
      <c r="A21" s="237"/>
      <c r="B21" s="237"/>
      <c r="C21" s="237"/>
      <c r="D21" s="257"/>
      <c r="E21" s="248"/>
      <c r="F21" s="245"/>
      <c r="G21" s="245"/>
      <c r="H21" s="263"/>
      <c r="I21" s="263"/>
      <c r="J21" s="264"/>
      <c r="K21" s="264"/>
      <c r="L21" s="264"/>
      <c r="M21" s="264"/>
      <c r="N21" s="271"/>
      <c r="O21" s="263"/>
      <c r="P21" s="286"/>
      <c r="Q21" s="286"/>
      <c r="R21" s="286"/>
      <c r="S21" s="286"/>
      <c r="T21" s="264"/>
      <c r="U21" s="264"/>
      <c r="V21" s="264"/>
      <c r="W21" s="264" t="s">
        <v>392</v>
      </c>
      <c r="X21" s="40" t="s">
        <v>393</v>
      </c>
      <c r="Y21" s="283"/>
      <c r="Z21" s="40" t="s">
        <v>63</v>
      </c>
      <c r="AA21" s="41">
        <v>0.71</v>
      </c>
      <c r="AB21" s="41">
        <v>0.45</v>
      </c>
      <c r="AC21" s="41">
        <v>0.81</v>
      </c>
    </row>
    <row r="22" spans="1:29" s="39" customFormat="1" ht="9" customHeight="1" x14ac:dyDescent="0.25">
      <c r="A22" s="237"/>
      <c r="B22" s="237"/>
      <c r="C22" s="237"/>
      <c r="D22" s="257"/>
      <c r="E22" s="248"/>
      <c r="F22" s="245"/>
      <c r="G22" s="245"/>
      <c r="H22" s="263"/>
      <c r="I22" s="263"/>
      <c r="J22" s="264"/>
      <c r="K22" s="264"/>
      <c r="L22" s="264"/>
      <c r="M22" s="264"/>
      <c r="N22" s="271"/>
      <c r="O22" s="263"/>
      <c r="P22" s="286"/>
      <c r="Q22" s="286"/>
      <c r="R22" s="286"/>
      <c r="S22" s="286"/>
      <c r="T22" s="264"/>
      <c r="U22" s="264"/>
      <c r="V22" s="264"/>
      <c r="W22" s="264" t="s">
        <v>394</v>
      </c>
      <c r="X22" s="40" t="s">
        <v>395</v>
      </c>
      <c r="Y22" s="283"/>
      <c r="Z22" s="40" t="s">
        <v>63</v>
      </c>
      <c r="AA22" s="41">
        <v>0.17</v>
      </c>
      <c r="AB22" s="41">
        <v>0.36</v>
      </c>
      <c r="AC22" s="41">
        <v>0.49</v>
      </c>
    </row>
    <row r="23" spans="1:29" s="39" customFormat="1" ht="9" customHeight="1" x14ac:dyDescent="0.25">
      <c r="A23" s="237"/>
      <c r="B23" s="237"/>
      <c r="C23" s="237"/>
      <c r="D23" s="257"/>
      <c r="E23" s="248"/>
      <c r="F23" s="245"/>
      <c r="G23" s="245"/>
      <c r="H23" s="263"/>
      <c r="I23" s="263"/>
      <c r="J23" s="264"/>
      <c r="K23" s="264"/>
      <c r="L23" s="264"/>
      <c r="M23" s="264"/>
      <c r="N23" s="271"/>
      <c r="O23" s="263"/>
      <c r="P23" s="286"/>
      <c r="Q23" s="286"/>
      <c r="R23" s="286"/>
      <c r="S23" s="286"/>
      <c r="T23" s="264"/>
      <c r="U23" s="264"/>
      <c r="V23" s="264"/>
      <c r="W23" s="264" t="s">
        <v>396</v>
      </c>
      <c r="X23" s="40" t="s">
        <v>397</v>
      </c>
      <c r="Y23" s="283"/>
      <c r="Z23" s="40" t="s">
        <v>63</v>
      </c>
      <c r="AA23" s="41">
        <v>0.49</v>
      </c>
      <c r="AB23" s="41">
        <v>0.66</v>
      </c>
      <c r="AC23" s="41">
        <v>1</v>
      </c>
    </row>
    <row r="24" spans="1:29" s="39" customFormat="1" ht="9" customHeight="1" x14ac:dyDescent="0.25">
      <c r="A24" s="237"/>
      <c r="B24" s="237"/>
      <c r="C24" s="237"/>
      <c r="D24" s="257"/>
      <c r="E24" s="248"/>
      <c r="F24" s="245"/>
      <c r="G24" s="245"/>
      <c r="H24" s="263"/>
      <c r="I24" s="263"/>
      <c r="J24" s="264"/>
      <c r="K24" s="264"/>
      <c r="L24" s="264"/>
      <c r="M24" s="264"/>
      <c r="N24" s="271"/>
      <c r="O24" s="263"/>
      <c r="P24" s="286"/>
      <c r="Q24" s="286"/>
      <c r="R24" s="286"/>
      <c r="S24" s="286"/>
      <c r="T24" s="264"/>
      <c r="U24" s="264"/>
      <c r="V24" s="264"/>
      <c r="W24" s="264" t="s">
        <v>398</v>
      </c>
      <c r="X24" s="40" t="s">
        <v>399</v>
      </c>
      <c r="Y24" s="283"/>
      <c r="Z24" s="40" t="s">
        <v>63</v>
      </c>
      <c r="AA24" s="41">
        <v>0.12</v>
      </c>
      <c r="AB24" s="41">
        <v>0.28000000000000003</v>
      </c>
      <c r="AC24" s="41">
        <v>1</v>
      </c>
    </row>
    <row r="25" spans="1:29" s="39" customFormat="1" ht="9" customHeight="1" x14ac:dyDescent="0.25">
      <c r="A25" s="237"/>
      <c r="B25" s="237"/>
      <c r="C25" s="237"/>
      <c r="D25" s="257"/>
      <c r="E25" s="248"/>
      <c r="F25" s="245"/>
      <c r="G25" s="245"/>
      <c r="H25" s="263"/>
      <c r="I25" s="263"/>
      <c r="J25" s="264"/>
      <c r="K25" s="264"/>
      <c r="L25" s="264"/>
      <c r="M25" s="264"/>
      <c r="N25" s="271"/>
      <c r="O25" s="263"/>
      <c r="P25" s="286"/>
      <c r="Q25" s="286"/>
      <c r="R25" s="286"/>
      <c r="S25" s="286"/>
      <c r="T25" s="264"/>
      <c r="U25" s="264"/>
      <c r="V25" s="264"/>
      <c r="W25" s="264" t="s">
        <v>400</v>
      </c>
      <c r="X25" s="40" t="s">
        <v>401</v>
      </c>
      <c r="Y25" s="283"/>
      <c r="Z25" s="40" t="s">
        <v>63</v>
      </c>
      <c r="AA25" s="41">
        <v>0.45</v>
      </c>
      <c r="AB25" s="41">
        <v>0.55000000000000004</v>
      </c>
      <c r="AC25" s="41">
        <v>0.72</v>
      </c>
    </row>
    <row r="26" spans="1:29" s="39" customFormat="1" ht="9" customHeight="1" x14ac:dyDescent="0.25">
      <c r="A26" s="237"/>
      <c r="B26" s="237"/>
      <c r="C26" s="237"/>
      <c r="D26" s="257"/>
      <c r="E26" s="248"/>
      <c r="F26" s="245"/>
      <c r="G26" s="245"/>
      <c r="H26" s="263"/>
      <c r="I26" s="263"/>
      <c r="J26" s="264"/>
      <c r="K26" s="264"/>
      <c r="L26" s="264"/>
      <c r="M26" s="264"/>
      <c r="N26" s="271"/>
      <c r="O26" s="263"/>
      <c r="P26" s="286"/>
      <c r="Q26" s="286"/>
      <c r="R26" s="286"/>
      <c r="S26" s="286"/>
      <c r="T26" s="264"/>
      <c r="U26" s="264"/>
      <c r="V26" s="264"/>
      <c r="W26" s="264" t="s">
        <v>402</v>
      </c>
      <c r="X26" s="40" t="s">
        <v>403</v>
      </c>
      <c r="Y26" s="283"/>
      <c r="Z26" s="40" t="s">
        <v>63</v>
      </c>
      <c r="AA26" s="41">
        <v>0.35</v>
      </c>
      <c r="AB26" s="41">
        <v>0.45</v>
      </c>
      <c r="AC26" s="41">
        <v>0.6</v>
      </c>
    </row>
    <row r="27" spans="1:29" s="39" customFormat="1" ht="9" customHeight="1" x14ac:dyDescent="0.25">
      <c r="A27" s="237"/>
      <c r="B27" s="237"/>
      <c r="C27" s="237"/>
      <c r="D27" s="257"/>
      <c r="E27" s="248"/>
      <c r="F27" s="245"/>
      <c r="G27" s="245"/>
      <c r="H27" s="263"/>
      <c r="I27" s="263"/>
      <c r="J27" s="264"/>
      <c r="K27" s="264"/>
      <c r="L27" s="264"/>
      <c r="M27" s="264"/>
      <c r="N27" s="271"/>
      <c r="O27" s="263"/>
      <c r="P27" s="286"/>
      <c r="Q27" s="286"/>
      <c r="R27" s="286"/>
      <c r="S27" s="286"/>
      <c r="T27" s="264"/>
      <c r="U27" s="264"/>
      <c r="V27" s="264"/>
      <c r="W27" s="264" t="s">
        <v>404</v>
      </c>
      <c r="X27" s="40" t="s">
        <v>405</v>
      </c>
      <c r="Y27" s="283"/>
      <c r="Z27" s="40" t="s">
        <v>63</v>
      </c>
      <c r="AA27" s="41">
        <v>0.48</v>
      </c>
      <c r="AB27" s="41">
        <v>0.82</v>
      </c>
      <c r="AC27" s="41">
        <v>1</v>
      </c>
    </row>
    <row r="28" spans="1:29" s="39" customFormat="1" ht="9" customHeight="1" x14ac:dyDescent="0.25">
      <c r="A28" s="237"/>
      <c r="B28" s="237"/>
      <c r="C28" s="237"/>
      <c r="D28" s="257"/>
      <c r="E28" s="248"/>
      <c r="F28" s="245"/>
      <c r="G28" s="245"/>
      <c r="H28" s="263"/>
      <c r="I28" s="263"/>
      <c r="J28" s="264"/>
      <c r="K28" s="264"/>
      <c r="L28" s="264"/>
      <c r="M28" s="264"/>
      <c r="N28" s="271"/>
      <c r="O28" s="263"/>
      <c r="P28" s="286"/>
      <c r="Q28" s="286"/>
      <c r="R28" s="286"/>
      <c r="S28" s="286"/>
      <c r="T28" s="264"/>
      <c r="U28" s="264"/>
      <c r="V28" s="264"/>
      <c r="W28" s="264" t="s">
        <v>406</v>
      </c>
      <c r="X28" s="40" t="s">
        <v>407</v>
      </c>
      <c r="Y28" s="283"/>
      <c r="Z28" s="40" t="s">
        <v>63</v>
      </c>
      <c r="AA28" s="41">
        <v>0.27</v>
      </c>
      <c r="AB28" s="41">
        <v>0.27</v>
      </c>
      <c r="AC28" s="41">
        <v>0.93</v>
      </c>
    </row>
    <row r="29" spans="1:29" s="39" customFormat="1" ht="9" customHeight="1" x14ac:dyDescent="0.25">
      <c r="A29" s="237"/>
      <c r="B29" s="237"/>
      <c r="C29" s="237"/>
      <c r="D29" s="257"/>
      <c r="E29" s="248"/>
      <c r="F29" s="245"/>
      <c r="G29" s="246"/>
      <c r="H29" s="261"/>
      <c r="I29" s="261"/>
      <c r="J29" s="265"/>
      <c r="K29" s="265"/>
      <c r="L29" s="265"/>
      <c r="M29" s="265"/>
      <c r="N29" s="275"/>
      <c r="O29" s="263"/>
      <c r="P29" s="286"/>
      <c r="Q29" s="287"/>
      <c r="R29" s="287"/>
      <c r="S29" s="287"/>
      <c r="T29" s="265"/>
      <c r="U29" s="265"/>
      <c r="V29" s="265"/>
      <c r="W29" s="265" t="s">
        <v>408</v>
      </c>
      <c r="X29" s="40" t="s">
        <v>409</v>
      </c>
      <c r="Y29" s="284"/>
      <c r="Z29" s="40" t="s">
        <v>63</v>
      </c>
      <c r="AA29" s="41">
        <v>0.3</v>
      </c>
      <c r="AB29" s="41">
        <v>0.52</v>
      </c>
      <c r="AC29" s="41">
        <v>1</v>
      </c>
    </row>
    <row r="30" spans="1:29" s="39" customFormat="1" ht="18" customHeight="1" x14ac:dyDescent="0.25">
      <c r="A30" s="237"/>
      <c r="B30" s="237"/>
      <c r="C30" s="237"/>
      <c r="D30" s="257"/>
      <c r="E30" s="248"/>
      <c r="F30" s="245"/>
      <c r="G30" s="244" t="s">
        <v>48</v>
      </c>
      <c r="H30" s="260" t="s">
        <v>4</v>
      </c>
      <c r="I30" s="260">
        <v>0</v>
      </c>
      <c r="J30" s="269">
        <v>0.25</v>
      </c>
      <c r="K30" s="269">
        <v>0.25</v>
      </c>
      <c r="L30" s="269">
        <v>0.25</v>
      </c>
      <c r="M30" s="269">
        <v>0.25</v>
      </c>
      <c r="N30" s="270">
        <v>1</v>
      </c>
      <c r="O30" s="260" t="s">
        <v>34</v>
      </c>
      <c r="P30" s="272">
        <f>+J30*26%</f>
        <v>6.5000000000000002E-2</v>
      </c>
      <c r="Q30" s="272">
        <f>0.25*32%</f>
        <v>0.08</v>
      </c>
      <c r="R30" s="272">
        <f>0.25*60%</f>
        <v>0.15</v>
      </c>
      <c r="S30" s="272">
        <f>0.25*88%</f>
        <v>0.22</v>
      </c>
      <c r="T30" s="269" t="s">
        <v>410</v>
      </c>
      <c r="U30" s="269" t="s">
        <v>411</v>
      </c>
      <c r="V30" s="269" t="s">
        <v>412</v>
      </c>
      <c r="W30" s="269" t="s">
        <v>413</v>
      </c>
      <c r="X30" s="40" t="s">
        <v>414</v>
      </c>
      <c r="Y30" s="40" t="s">
        <v>415</v>
      </c>
      <c r="Z30" s="40" t="s">
        <v>64</v>
      </c>
      <c r="AA30" s="41">
        <v>0.39</v>
      </c>
      <c r="AB30" s="41">
        <v>0.75</v>
      </c>
      <c r="AC30" s="41">
        <v>1</v>
      </c>
    </row>
    <row r="31" spans="1:29" s="39" customFormat="1" ht="27" x14ac:dyDescent="0.25">
      <c r="A31" s="237"/>
      <c r="B31" s="237"/>
      <c r="C31" s="237"/>
      <c r="D31" s="257"/>
      <c r="E31" s="248"/>
      <c r="F31" s="245"/>
      <c r="G31" s="245"/>
      <c r="H31" s="261"/>
      <c r="I31" s="261"/>
      <c r="J31" s="265"/>
      <c r="K31" s="265"/>
      <c r="L31" s="265"/>
      <c r="M31" s="265"/>
      <c r="N31" s="275"/>
      <c r="O31" s="261"/>
      <c r="P31" s="278"/>
      <c r="Q31" s="278"/>
      <c r="R31" s="278"/>
      <c r="S31" s="278"/>
      <c r="T31" s="265"/>
      <c r="U31" s="265"/>
      <c r="V31" s="265"/>
      <c r="W31" s="265" t="s">
        <v>416</v>
      </c>
      <c r="X31" s="40" t="s">
        <v>417</v>
      </c>
      <c r="Y31" s="40" t="s">
        <v>418</v>
      </c>
      <c r="Z31" s="40" t="s">
        <v>64</v>
      </c>
      <c r="AA31" s="41">
        <v>0.22</v>
      </c>
      <c r="AB31" s="41">
        <v>0.35</v>
      </c>
      <c r="AC31" s="41">
        <v>0.85</v>
      </c>
    </row>
    <row r="32" spans="1:29" s="39" customFormat="1" ht="27" customHeight="1" x14ac:dyDescent="0.25">
      <c r="A32" s="237"/>
      <c r="B32" s="237"/>
      <c r="C32" s="237"/>
      <c r="D32" s="257"/>
      <c r="E32" s="248"/>
      <c r="F32" s="245"/>
      <c r="G32" s="245"/>
      <c r="H32" s="260" t="s">
        <v>766</v>
      </c>
      <c r="I32" s="260">
        <v>0</v>
      </c>
      <c r="J32" s="269">
        <v>0.25</v>
      </c>
      <c r="K32" s="269">
        <v>0.25</v>
      </c>
      <c r="L32" s="269">
        <v>0.25</v>
      </c>
      <c r="M32" s="269">
        <v>0.25</v>
      </c>
      <c r="N32" s="270">
        <v>1</v>
      </c>
      <c r="O32" s="260" t="s">
        <v>35</v>
      </c>
      <c r="P32" s="272">
        <f>0.25*12%</f>
        <v>0.03</v>
      </c>
      <c r="Q32" s="272">
        <f>0.25*59%</f>
        <v>0.14749999999999999</v>
      </c>
      <c r="R32" s="272">
        <f>0.25*76%</f>
        <v>0.19</v>
      </c>
      <c r="S32" s="272">
        <f>0.25*100%</f>
        <v>0.25</v>
      </c>
      <c r="T32" s="269" t="s">
        <v>410</v>
      </c>
      <c r="U32" s="269" t="s">
        <v>419</v>
      </c>
      <c r="V32" s="269" t="s">
        <v>420</v>
      </c>
      <c r="W32" s="269" t="s">
        <v>421</v>
      </c>
      <c r="X32" s="40" t="s">
        <v>422</v>
      </c>
      <c r="Y32" s="40" t="s">
        <v>423</v>
      </c>
      <c r="Z32" s="40" t="s">
        <v>64</v>
      </c>
      <c r="AA32" s="41">
        <v>0.78</v>
      </c>
      <c r="AB32" s="41">
        <v>0.82</v>
      </c>
      <c r="AC32" s="41">
        <v>1</v>
      </c>
    </row>
    <row r="33" spans="1:29" s="39" customFormat="1" ht="18" x14ac:dyDescent="0.25">
      <c r="A33" s="237"/>
      <c r="B33" s="237"/>
      <c r="C33" s="237"/>
      <c r="D33" s="257"/>
      <c r="E33" s="248"/>
      <c r="F33" s="245"/>
      <c r="G33" s="245"/>
      <c r="H33" s="261"/>
      <c r="I33" s="261"/>
      <c r="J33" s="265"/>
      <c r="K33" s="265"/>
      <c r="L33" s="265"/>
      <c r="M33" s="265"/>
      <c r="N33" s="275"/>
      <c r="O33" s="261"/>
      <c r="P33" s="278"/>
      <c r="Q33" s="278"/>
      <c r="R33" s="278"/>
      <c r="S33" s="278"/>
      <c r="T33" s="265"/>
      <c r="U33" s="265"/>
      <c r="V33" s="265"/>
      <c r="W33" s="265" t="s">
        <v>424</v>
      </c>
      <c r="X33" s="40" t="s">
        <v>425</v>
      </c>
      <c r="Y33" s="40" t="s">
        <v>426</v>
      </c>
      <c r="Z33" s="40" t="s">
        <v>64</v>
      </c>
      <c r="AA33" s="41">
        <v>0.52</v>
      </c>
      <c r="AB33" s="41">
        <v>0.74</v>
      </c>
      <c r="AC33" s="41">
        <v>1</v>
      </c>
    </row>
    <row r="34" spans="1:29" s="39" customFormat="1" ht="18" customHeight="1" x14ac:dyDescent="0.25">
      <c r="A34" s="237"/>
      <c r="B34" s="237"/>
      <c r="C34" s="237"/>
      <c r="D34" s="257"/>
      <c r="E34" s="248"/>
      <c r="F34" s="245"/>
      <c r="G34" s="245"/>
      <c r="H34" s="260" t="s">
        <v>5</v>
      </c>
      <c r="I34" s="260">
        <v>0</v>
      </c>
      <c r="J34" s="269">
        <v>0.25</v>
      </c>
      <c r="K34" s="269">
        <v>0.25</v>
      </c>
      <c r="L34" s="269">
        <v>0.25</v>
      </c>
      <c r="M34" s="269">
        <v>0.25</v>
      </c>
      <c r="N34" s="270">
        <v>1</v>
      </c>
      <c r="O34" s="260" t="s">
        <v>36</v>
      </c>
      <c r="P34" s="272">
        <f>0.25*20%</f>
        <v>0.05</v>
      </c>
      <c r="Q34" s="272">
        <f>0.25*30%</f>
        <v>7.4999999999999997E-2</v>
      </c>
      <c r="R34" s="272">
        <f>0.25*45%</f>
        <v>0.1125</v>
      </c>
      <c r="S34" s="272">
        <f>0.25*96%</f>
        <v>0.24</v>
      </c>
      <c r="T34" s="269" t="s">
        <v>410</v>
      </c>
      <c r="U34" s="269" t="s">
        <v>427</v>
      </c>
      <c r="V34" s="269" t="s">
        <v>428</v>
      </c>
      <c r="W34" s="269" t="s">
        <v>429</v>
      </c>
      <c r="X34" s="40" t="s">
        <v>430</v>
      </c>
      <c r="Y34" s="40" t="s">
        <v>281</v>
      </c>
      <c r="Z34" s="40" t="s">
        <v>65</v>
      </c>
      <c r="AA34" s="41">
        <v>0.21</v>
      </c>
      <c r="AB34" s="41">
        <v>0.34</v>
      </c>
      <c r="AC34" s="41">
        <v>0.92</v>
      </c>
    </row>
    <row r="35" spans="1:29" s="39" customFormat="1" ht="27" x14ac:dyDescent="0.25">
      <c r="A35" s="237"/>
      <c r="B35" s="237"/>
      <c r="C35" s="237"/>
      <c r="D35" s="257"/>
      <c r="E35" s="248"/>
      <c r="F35" s="245"/>
      <c r="G35" s="245"/>
      <c r="H35" s="261"/>
      <c r="I35" s="261"/>
      <c r="J35" s="265"/>
      <c r="K35" s="265"/>
      <c r="L35" s="265"/>
      <c r="M35" s="265"/>
      <c r="N35" s="275"/>
      <c r="O35" s="261"/>
      <c r="P35" s="278"/>
      <c r="Q35" s="278"/>
      <c r="R35" s="278"/>
      <c r="S35" s="278"/>
      <c r="T35" s="265"/>
      <c r="U35" s="265"/>
      <c r="V35" s="265"/>
      <c r="W35" s="265" t="s">
        <v>431</v>
      </c>
      <c r="X35" s="40" t="s">
        <v>432</v>
      </c>
      <c r="Y35" s="40" t="s">
        <v>433</v>
      </c>
      <c r="Z35" s="40" t="s">
        <v>65</v>
      </c>
      <c r="AA35" s="41">
        <v>0.5</v>
      </c>
      <c r="AB35" s="41">
        <v>0.71</v>
      </c>
      <c r="AC35" s="41">
        <v>0.99</v>
      </c>
    </row>
    <row r="36" spans="1:29" s="39" customFormat="1" ht="36" customHeight="1" x14ac:dyDescent="0.25">
      <c r="A36" s="237"/>
      <c r="B36" s="237"/>
      <c r="C36" s="237"/>
      <c r="D36" s="257"/>
      <c r="E36" s="248"/>
      <c r="F36" s="245"/>
      <c r="G36" s="245"/>
      <c r="H36" s="260" t="s">
        <v>6</v>
      </c>
      <c r="I36" s="260">
        <v>0</v>
      </c>
      <c r="J36" s="269">
        <v>0.25</v>
      </c>
      <c r="K36" s="269">
        <v>0.25</v>
      </c>
      <c r="L36" s="269">
        <v>0.25</v>
      </c>
      <c r="M36" s="269">
        <v>0.25</v>
      </c>
      <c r="N36" s="270">
        <v>1</v>
      </c>
      <c r="O36" s="260" t="s">
        <v>37</v>
      </c>
      <c r="P36" s="272">
        <f>0.25*20%</f>
        <v>0.05</v>
      </c>
      <c r="Q36" s="272">
        <f>0.25*27%</f>
        <v>6.7500000000000004E-2</v>
      </c>
      <c r="R36" s="272">
        <f>0.25*54%</f>
        <v>0.13500000000000001</v>
      </c>
      <c r="S36" s="272">
        <f>0.25*99%</f>
        <v>0.2475</v>
      </c>
      <c r="T36" s="269" t="s">
        <v>410</v>
      </c>
      <c r="U36" s="269" t="s">
        <v>434</v>
      </c>
      <c r="V36" s="269" t="s">
        <v>435</v>
      </c>
      <c r="W36" s="269" t="s">
        <v>436</v>
      </c>
      <c r="X36" s="40" t="s">
        <v>437</v>
      </c>
      <c r="Y36" s="40" t="s">
        <v>438</v>
      </c>
      <c r="Z36" s="40" t="s">
        <v>65</v>
      </c>
      <c r="AA36" s="41">
        <v>0.1</v>
      </c>
      <c r="AB36" s="41">
        <v>0.35</v>
      </c>
      <c r="AC36" s="41">
        <v>0.97</v>
      </c>
    </row>
    <row r="37" spans="1:29" s="39" customFormat="1" ht="18" customHeight="1" x14ac:dyDescent="0.25">
      <c r="A37" s="237"/>
      <c r="B37" s="237"/>
      <c r="C37" s="238"/>
      <c r="D37" s="258"/>
      <c r="E37" s="248"/>
      <c r="F37" s="245"/>
      <c r="G37" s="245"/>
      <c r="H37" s="261"/>
      <c r="I37" s="261"/>
      <c r="J37" s="265"/>
      <c r="K37" s="265"/>
      <c r="L37" s="265"/>
      <c r="M37" s="265"/>
      <c r="N37" s="275"/>
      <c r="O37" s="261"/>
      <c r="P37" s="278"/>
      <c r="Q37" s="278"/>
      <c r="R37" s="278"/>
      <c r="S37" s="278"/>
      <c r="T37" s="265"/>
      <c r="U37" s="265"/>
      <c r="V37" s="265"/>
      <c r="W37" s="265" t="s">
        <v>439</v>
      </c>
      <c r="X37" s="40" t="s">
        <v>440</v>
      </c>
      <c r="Y37" s="40" t="s">
        <v>441</v>
      </c>
      <c r="Z37" s="40" t="s">
        <v>65</v>
      </c>
      <c r="AA37" s="41">
        <v>0.5</v>
      </c>
      <c r="AB37" s="41">
        <v>0.74</v>
      </c>
      <c r="AC37" s="41">
        <v>1</v>
      </c>
    </row>
    <row r="38" spans="1:29" s="39" customFormat="1" ht="18.75" customHeight="1" x14ac:dyDescent="0.25">
      <c r="A38" s="237"/>
      <c r="B38" s="237"/>
      <c r="C38" s="236" t="s">
        <v>633</v>
      </c>
      <c r="D38" s="236" t="s">
        <v>634</v>
      </c>
      <c r="E38" s="248"/>
      <c r="F38" s="245"/>
      <c r="G38" s="245"/>
      <c r="H38" s="260" t="s">
        <v>7</v>
      </c>
      <c r="I38" s="260">
        <v>0</v>
      </c>
      <c r="J38" s="269">
        <v>0.25</v>
      </c>
      <c r="K38" s="269">
        <v>0.25</v>
      </c>
      <c r="L38" s="269">
        <v>0.25</v>
      </c>
      <c r="M38" s="269">
        <v>0.25</v>
      </c>
      <c r="N38" s="270">
        <v>1</v>
      </c>
      <c r="O38" s="260" t="s">
        <v>38</v>
      </c>
      <c r="P38" s="272">
        <f>0.25*10%</f>
        <v>2.5000000000000001E-2</v>
      </c>
      <c r="Q38" s="272">
        <f>0.25*43%</f>
        <v>0.1075</v>
      </c>
      <c r="R38" s="272">
        <f>0.25*56%</f>
        <v>0.14000000000000001</v>
      </c>
      <c r="S38" s="272">
        <f>0.25*98%</f>
        <v>0.245</v>
      </c>
      <c r="T38" s="269" t="s">
        <v>442</v>
      </c>
      <c r="U38" s="269" t="s">
        <v>443</v>
      </c>
      <c r="V38" s="269" t="s">
        <v>444</v>
      </c>
      <c r="W38" s="269" t="s">
        <v>445</v>
      </c>
      <c r="X38" s="40" t="s">
        <v>446</v>
      </c>
      <c r="Y38" s="40" t="s">
        <v>75</v>
      </c>
      <c r="Z38" s="40" t="s">
        <v>65</v>
      </c>
      <c r="AA38" s="41">
        <v>0.48</v>
      </c>
      <c r="AB38" s="41">
        <v>0.62</v>
      </c>
      <c r="AC38" s="41">
        <v>1</v>
      </c>
    </row>
    <row r="39" spans="1:29" s="39" customFormat="1" ht="26.25" customHeight="1" x14ac:dyDescent="0.25">
      <c r="A39" s="237"/>
      <c r="B39" s="237"/>
      <c r="C39" s="237"/>
      <c r="D39" s="237"/>
      <c r="E39" s="248"/>
      <c r="F39" s="245"/>
      <c r="G39" s="245"/>
      <c r="H39" s="263"/>
      <c r="I39" s="263"/>
      <c r="J39" s="264"/>
      <c r="K39" s="264"/>
      <c r="L39" s="264"/>
      <c r="M39" s="264"/>
      <c r="N39" s="271"/>
      <c r="O39" s="263"/>
      <c r="P39" s="273"/>
      <c r="Q39" s="273"/>
      <c r="R39" s="273"/>
      <c r="S39" s="273"/>
      <c r="T39" s="264"/>
      <c r="U39" s="264"/>
      <c r="V39" s="264"/>
      <c r="W39" s="264" t="s">
        <v>447</v>
      </c>
      <c r="X39" s="40" t="s">
        <v>448</v>
      </c>
      <c r="Y39" s="40" t="s">
        <v>449</v>
      </c>
      <c r="Z39" s="40" t="s">
        <v>65</v>
      </c>
      <c r="AA39" s="41">
        <v>0.43</v>
      </c>
      <c r="AB39" s="41">
        <v>0.48</v>
      </c>
      <c r="AC39" s="41">
        <v>0.99</v>
      </c>
    </row>
    <row r="40" spans="1:29" s="39" customFormat="1" ht="18.75" customHeight="1" x14ac:dyDescent="0.25">
      <c r="A40" s="237"/>
      <c r="B40" s="237"/>
      <c r="C40" s="238"/>
      <c r="D40" s="238"/>
      <c r="E40" s="248"/>
      <c r="F40" s="245"/>
      <c r="G40" s="245"/>
      <c r="H40" s="261"/>
      <c r="I40" s="261"/>
      <c r="J40" s="265"/>
      <c r="K40" s="265"/>
      <c r="L40" s="265"/>
      <c r="M40" s="265"/>
      <c r="N40" s="275"/>
      <c r="O40" s="261"/>
      <c r="P40" s="278"/>
      <c r="Q40" s="278"/>
      <c r="R40" s="278"/>
      <c r="S40" s="278"/>
      <c r="T40" s="265"/>
      <c r="U40" s="265"/>
      <c r="V40" s="265"/>
      <c r="W40" s="265" t="s">
        <v>450</v>
      </c>
      <c r="X40" s="40" t="s">
        <v>451</v>
      </c>
      <c r="Y40" s="40" t="s">
        <v>76</v>
      </c>
      <c r="Z40" s="40" t="s">
        <v>65</v>
      </c>
      <c r="AA40" s="41">
        <v>0.38</v>
      </c>
      <c r="AB40" s="41">
        <v>0.6</v>
      </c>
      <c r="AC40" s="41">
        <v>0.96</v>
      </c>
    </row>
    <row r="41" spans="1:29" s="39" customFormat="1" ht="18" customHeight="1" x14ac:dyDescent="0.25">
      <c r="A41" s="237"/>
      <c r="B41" s="237"/>
      <c r="C41" s="236" t="s">
        <v>631</v>
      </c>
      <c r="D41" s="236" t="s">
        <v>632</v>
      </c>
      <c r="E41" s="248"/>
      <c r="F41" s="245"/>
      <c r="G41" s="245"/>
      <c r="H41" s="260" t="s">
        <v>8</v>
      </c>
      <c r="I41" s="260">
        <v>0</v>
      </c>
      <c r="J41" s="269">
        <v>0.25</v>
      </c>
      <c r="K41" s="269">
        <v>0.25</v>
      </c>
      <c r="L41" s="269">
        <v>0.25</v>
      </c>
      <c r="M41" s="269">
        <v>0.25</v>
      </c>
      <c r="N41" s="270">
        <v>1</v>
      </c>
      <c r="O41" s="260" t="s">
        <v>39</v>
      </c>
      <c r="P41" s="272">
        <f>0.25*25%</f>
        <v>6.25E-2</v>
      </c>
      <c r="Q41" s="272">
        <f>0.25*40%</f>
        <v>0.1</v>
      </c>
      <c r="R41" s="272">
        <f>0.25*61%</f>
        <v>0.1525</v>
      </c>
      <c r="S41" s="272">
        <f>0.25*93%</f>
        <v>0.23250000000000001</v>
      </c>
      <c r="T41" s="269" t="s">
        <v>442</v>
      </c>
      <c r="U41" s="269" t="s">
        <v>452</v>
      </c>
      <c r="V41" s="269" t="s">
        <v>453</v>
      </c>
      <c r="W41" s="269" t="s">
        <v>454</v>
      </c>
      <c r="X41" s="40" t="s">
        <v>455</v>
      </c>
      <c r="Y41" s="40" t="s">
        <v>456</v>
      </c>
      <c r="Z41" s="40" t="s">
        <v>66</v>
      </c>
      <c r="AA41" s="41">
        <v>0.77</v>
      </c>
      <c r="AB41" s="41">
        <v>0.97</v>
      </c>
      <c r="AC41" s="41">
        <v>1</v>
      </c>
    </row>
    <row r="42" spans="1:29" s="39" customFormat="1" ht="18" customHeight="1" x14ac:dyDescent="0.25">
      <c r="A42" s="237"/>
      <c r="B42" s="237"/>
      <c r="C42" s="237"/>
      <c r="D42" s="237"/>
      <c r="E42" s="248"/>
      <c r="F42" s="245"/>
      <c r="G42" s="245"/>
      <c r="H42" s="263"/>
      <c r="I42" s="263"/>
      <c r="J42" s="264"/>
      <c r="K42" s="264"/>
      <c r="L42" s="264"/>
      <c r="M42" s="264"/>
      <c r="N42" s="271"/>
      <c r="O42" s="263"/>
      <c r="P42" s="273"/>
      <c r="Q42" s="273"/>
      <c r="R42" s="273"/>
      <c r="S42" s="273"/>
      <c r="T42" s="264"/>
      <c r="U42" s="264"/>
      <c r="V42" s="264"/>
      <c r="W42" s="264" t="s">
        <v>457</v>
      </c>
      <c r="X42" s="40" t="s">
        <v>458</v>
      </c>
      <c r="Y42" s="40" t="s">
        <v>459</v>
      </c>
      <c r="Z42" s="40" t="s">
        <v>66</v>
      </c>
      <c r="AA42" s="41">
        <v>0.19</v>
      </c>
      <c r="AB42" s="41">
        <v>0.19</v>
      </c>
      <c r="AC42" s="41">
        <v>0.81</v>
      </c>
    </row>
    <row r="43" spans="1:29" s="39" customFormat="1" ht="18" x14ac:dyDescent="0.25">
      <c r="A43" s="237"/>
      <c r="B43" s="237"/>
      <c r="C43" s="237"/>
      <c r="D43" s="237"/>
      <c r="E43" s="248"/>
      <c r="F43" s="245"/>
      <c r="G43" s="246"/>
      <c r="H43" s="261"/>
      <c r="I43" s="261"/>
      <c r="J43" s="265"/>
      <c r="K43" s="265"/>
      <c r="L43" s="265"/>
      <c r="M43" s="265"/>
      <c r="N43" s="275"/>
      <c r="O43" s="261"/>
      <c r="P43" s="278"/>
      <c r="Q43" s="278"/>
      <c r="R43" s="278"/>
      <c r="S43" s="278"/>
      <c r="T43" s="265"/>
      <c r="U43" s="265"/>
      <c r="V43" s="265"/>
      <c r="W43" s="265" t="s">
        <v>460</v>
      </c>
      <c r="X43" s="40" t="s">
        <v>461</v>
      </c>
      <c r="Y43" s="40" t="s">
        <v>462</v>
      </c>
      <c r="Z43" s="40" t="s">
        <v>66</v>
      </c>
      <c r="AA43" s="41">
        <v>0.23</v>
      </c>
      <c r="AB43" s="41">
        <v>0.23</v>
      </c>
      <c r="AC43" s="41">
        <v>0.92</v>
      </c>
    </row>
    <row r="44" spans="1:29" s="39" customFormat="1" ht="18" customHeight="1" x14ac:dyDescent="0.25">
      <c r="A44" s="237"/>
      <c r="B44" s="237"/>
      <c r="C44" s="237"/>
      <c r="D44" s="237"/>
      <c r="E44" s="248"/>
      <c r="F44" s="245"/>
      <c r="G44" s="244" t="s">
        <v>16</v>
      </c>
      <c r="H44" s="260" t="s">
        <v>9</v>
      </c>
      <c r="I44" s="260">
        <v>0</v>
      </c>
      <c r="J44" s="269">
        <v>0.25</v>
      </c>
      <c r="K44" s="269">
        <v>0.25</v>
      </c>
      <c r="L44" s="269">
        <v>0.25</v>
      </c>
      <c r="M44" s="269">
        <v>0.25</v>
      </c>
      <c r="N44" s="270">
        <v>1</v>
      </c>
      <c r="O44" s="260" t="s">
        <v>40</v>
      </c>
      <c r="P44" s="279">
        <f>0.25*3.5%</f>
        <v>8.7500000000000008E-3</v>
      </c>
      <c r="Q44" s="279">
        <f>0.25*33%</f>
        <v>8.2500000000000004E-2</v>
      </c>
      <c r="R44" s="279">
        <f>0.25*62%</f>
        <v>0.155</v>
      </c>
      <c r="S44" s="279">
        <f>0.25*97%</f>
        <v>0.24249999999999999</v>
      </c>
      <c r="T44" s="269" t="s">
        <v>442</v>
      </c>
      <c r="U44" s="269" t="s">
        <v>463</v>
      </c>
      <c r="V44" s="269" t="s">
        <v>464</v>
      </c>
      <c r="W44" s="269" t="s">
        <v>465</v>
      </c>
      <c r="X44" s="40" t="s">
        <v>466</v>
      </c>
      <c r="Y44" s="40" t="s">
        <v>467</v>
      </c>
      <c r="Z44" s="40" t="s">
        <v>67</v>
      </c>
      <c r="AA44" s="41">
        <v>0.5</v>
      </c>
      <c r="AB44" s="41">
        <v>0.63</v>
      </c>
      <c r="AC44" s="41">
        <v>1</v>
      </c>
    </row>
    <row r="45" spans="1:29" s="39" customFormat="1" ht="18" x14ac:dyDescent="0.25">
      <c r="A45" s="237"/>
      <c r="B45" s="237"/>
      <c r="C45" s="237"/>
      <c r="D45" s="237"/>
      <c r="E45" s="248"/>
      <c r="F45" s="245"/>
      <c r="G45" s="245"/>
      <c r="H45" s="263"/>
      <c r="I45" s="263"/>
      <c r="J45" s="264"/>
      <c r="K45" s="264"/>
      <c r="L45" s="264"/>
      <c r="M45" s="264"/>
      <c r="N45" s="271"/>
      <c r="O45" s="263"/>
      <c r="P45" s="280"/>
      <c r="Q45" s="280"/>
      <c r="R45" s="280"/>
      <c r="S45" s="280"/>
      <c r="T45" s="264"/>
      <c r="U45" s="264"/>
      <c r="V45" s="264"/>
      <c r="W45" s="264" t="s">
        <v>468</v>
      </c>
      <c r="X45" s="40" t="s">
        <v>469</v>
      </c>
      <c r="Y45" s="40" t="s">
        <v>77</v>
      </c>
      <c r="Z45" s="40" t="s">
        <v>64</v>
      </c>
      <c r="AA45" s="41">
        <v>0.26</v>
      </c>
      <c r="AB45" s="41">
        <v>0.59</v>
      </c>
      <c r="AC45" s="41">
        <v>0.94</v>
      </c>
    </row>
    <row r="46" spans="1:29" s="39" customFormat="1" ht="18" x14ac:dyDescent="0.25">
      <c r="A46" s="237"/>
      <c r="B46" s="237"/>
      <c r="C46" s="237"/>
      <c r="D46" s="237"/>
      <c r="E46" s="248"/>
      <c r="F46" s="245"/>
      <c r="G46" s="245"/>
      <c r="H46" s="261"/>
      <c r="I46" s="261"/>
      <c r="J46" s="265"/>
      <c r="K46" s="265"/>
      <c r="L46" s="265"/>
      <c r="M46" s="265"/>
      <c r="N46" s="275"/>
      <c r="O46" s="261"/>
      <c r="P46" s="281"/>
      <c r="Q46" s="281"/>
      <c r="R46" s="281"/>
      <c r="S46" s="281"/>
      <c r="T46" s="265"/>
      <c r="U46" s="265"/>
      <c r="V46" s="265"/>
      <c r="W46" s="265" t="s">
        <v>470</v>
      </c>
      <c r="X46" s="40" t="s">
        <v>471</v>
      </c>
      <c r="Y46" s="40" t="s">
        <v>78</v>
      </c>
      <c r="Z46" s="40" t="s">
        <v>66</v>
      </c>
      <c r="AA46" s="41">
        <v>0.31</v>
      </c>
      <c r="AB46" s="41">
        <v>0.7</v>
      </c>
      <c r="AC46" s="41">
        <v>0.98</v>
      </c>
    </row>
    <row r="47" spans="1:29" s="39" customFormat="1" ht="18" customHeight="1" x14ac:dyDescent="0.25">
      <c r="A47" s="237"/>
      <c r="B47" s="237"/>
      <c r="C47" s="237"/>
      <c r="D47" s="237"/>
      <c r="E47" s="248"/>
      <c r="F47" s="245"/>
      <c r="G47" s="245"/>
      <c r="H47" s="260" t="s">
        <v>41</v>
      </c>
      <c r="I47" s="260">
        <v>0</v>
      </c>
      <c r="J47" s="269">
        <v>0.25</v>
      </c>
      <c r="K47" s="269">
        <v>0.25</v>
      </c>
      <c r="L47" s="269">
        <v>0.25</v>
      </c>
      <c r="M47" s="269">
        <v>0.25</v>
      </c>
      <c r="N47" s="270">
        <v>1</v>
      </c>
      <c r="O47" s="260" t="s">
        <v>42</v>
      </c>
      <c r="P47" s="272">
        <f>0.25*18%</f>
        <v>4.4999999999999998E-2</v>
      </c>
      <c r="Q47" s="272">
        <f>0.25*39%</f>
        <v>9.7500000000000003E-2</v>
      </c>
      <c r="R47" s="272">
        <f>0.25*56%</f>
        <v>0.14000000000000001</v>
      </c>
      <c r="S47" s="272">
        <f>0.25*87%</f>
        <v>0.2175</v>
      </c>
      <c r="T47" s="269" t="s">
        <v>472</v>
      </c>
      <c r="U47" s="269" t="s">
        <v>473</v>
      </c>
      <c r="V47" s="269" t="s">
        <v>474</v>
      </c>
      <c r="W47" s="269" t="s">
        <v>475</v>
      </c>
      <c r="X47" s="40" t="s">
        <v>476</v>
      </c>
      <c r="Y47" s="40" t="s">
        <v>79</v>
      </c>
      <c r="Z47" s="40" t="s">
        <v>68</v>
      </c>
      <c r="AA47" s="41">
        <v>0.56000000000000005</v>
      </c>
      <c r="AB47" s="41">
        <v>0.68</v>
      </c>
      <c r="AC47" s="41">
        <v>0.9</v>
      </c>
    </row>
    <row r="48" spans="1:29" s="39" customFormat="1" ht="18" x14ac:dyDescent="0.25">
      <c r="A48" s="237"/>
      <c r="B48" s="237"/>
      <c r="C48" s="237"/>
      <c r="D48" s="237"/>
      <c r="E48" s="248"/>
      <c r="F48" s="245"/>
      <c r="G48" s="245"/>
      <c r="H48" s="263"/>
      <c r="I48" s="263"/>
      <c r="J48" s="264"/>
      <c r="K48" s="264"/>
      <c r="L48" s="264"/>
      <c r="M48" s="264"/>
      <c r="N48" s="271"/>
      <c r="O48" s="263"/>
      <c r="P48" s="273"/>
      <c r="Q48" s="273"/>
      <c r="R48" s="273"/>
      <c r="S48" s="273"/>
      <c r="T48" s="264"/>
      <c r="U48" s="264"/>
      <c r="V48" s="264"/>
      <c r="W48" s="264" t="s">
        <v>477</v>
      </c>
      <c r="X48" s="40" t="s">
        <v>478</v>
      </c>
      <c r="Y48" s="40" t="s">
        <v>479</v>
      </c>
      <c r="Z48" s="40" t="s">
        <v>68</v>
      </c>
      <c r="AA48" s="41">
        <v>0.17</v>
      </c>
      <c r="AB48" s="41">
        <v>0.28000000000000003</v>
      </c>
      <c r="AC48" s="41">
        <v>0.9</v>
      </c>
    </row>
    <row r="49" spans="1:29" s="39" customFormat="1" ht="18" x14ac:dyDescent="0.25">
      <c r="A49" s="237"/>
      <c r="B49" s="237"/>
      <c r="C49" s="237"/>
      <c r="D49" s="237"/>
      <c r="E49" s="248"/>
      <c r="F49" s="245"/>
      <c r="G49" s="245"/>
      <c r="H49" s="263"/>
      <c r="I49" s="263"/>
      <c r="J49" s="264"/>
      <c r="K49" s="264"/>
      <c r="L49" s="264"/>
      <c r="M49" s="264"/>
      <c r="N49" s="271"/>
      <c r="O49" s="263"/>
      <c r="P49" s="273"/>
      <c r="Q49" s="273"/>
      <c r="R49" s="273"/>
      <c r="S49" s="273"/>
      <c r="T49" s="264"/>
      <c r="U49" s="264"/>
      <c r="V49" s="264"/>
      <c r="W49" s="264" t="s">
        <v>480</v>
      </c>
      <c r="X49" s="40" t="s">
        <v>481</v>
      </c>
      <c r="Y49" s="40" t="s">
        <v>482</v>
      </c>
      <c r="Z49" s="40" t="s">
        <v>68</v>
      </c>
      <c r="AA49" s="41">
        <v>0.25</v>
      </c>
      <c r="AB49" s="41">
        <v>0.52</v>
      </c>
      <c r="AC49" s="41">
        <v>0.66</v>
      </c>
    </row>
    <row r="50" spans="1:29" s="39" customFormat="1" ht="18" customHeight="1" x14ac:dyDescent="0.25">
      <c r="A50" s="237"/>
      <c r="B50" s="237"/>
      <c r="C50" s="237"/>
      <c r="D50" s="237"/>
      <c r="E50" s="248"/>
      <c r="F50" s="245"/>
      <c r="G50" s="245"/>
      <c r="H50" s="263"/>
      <c r="I50" s="263"/>
      <c r="J50" s="264"/>
      <c r="K50" s="264"/>
      <c r="L50" s="264"/>
      <c r="M50" s="264"/>
      <c r="N50" s="271"/>
      <c r="O50" s="263"/>
      <c r="P50" s="273"/>
      <c r="Q50" s="273"/>
      <c r="R50" s="273"/>
      <c r="S50" s="273"/>
      <c r="T50" s="264"/>
      <c r="U50" s="264"/>
      <c r="V50" s="264"/>
      <c r="W50" s="264" t="s">
        <v>483</v>
      </c>
      <c r="X50" s="40" t="s">
        <v>484</v>
      </c>
      <c r="Y50" s="40" t="s">
        <v>485</v>
      </c>
      <c r="Z50" s="40" t="s">
        <v>68</v>
      </c>
      <c r="AA50" s="41">
        <v>0</v>
      </c>
      <c r="AB50" s="41">
        <v>0.35</v>
      </c>
      <c r="AC50" s="41">
        <v>0.9</v>
      </c>
    </row>
    <row r="51" spans="1:29" s="39" customFormat="1" ht="18" x14ac:dyDescent="0.25">
      <c r="A51" s="237"/>
      <c r="B51" s="237"/>
      <c r="C51" s="237"/>
      <c r="D51" s="237"/>
      <c r="E51" s="248"/>
      <c r="F51" s="245"/>
      <c r="G51" s="245"/>
      <c r="H51" s="261"/>
      <c r="I51" s="261"/>
      <c r="J51" s="265"/>
      <c r="K51" s="265"/>
      <c r="L51" s="265"/>
      <c r="M51" s="265"/>
      <c r="N51" s="275"/>
      <c r="O51" s="261"/>
      <c r="P51" s="278"/>
      <c r="Q51" s="278"/>
      <c r="R51" s="278"/>
      <c r="S51" s="278"/>
      <c r="T51" s="265"/>
      <c r="U51" s="265"/>
      <c r="V51" s="265"/>
      <c r="W51" s="265" t="s">
        <v>486</v>
      </c>
      <c r="X51" s="40" t="s">
        <v>487</v>
      </c>
      <c r="Y51" s="40" t="s">
        <v>80</v>
      </c>
      <c r="Z51" s="42" t="s">
        <v>65</v>
      </c>
      <c r="AA51" s="41">
        <v>0.42</v>
      </c>
      <c r="AB51" s="41">
        <v>0.66</v>
      </c>
      <c r="AC51" s="41">
        <v>1</v>
      </c>
    </row>
    <row r="52" spans="1:29" s="39" customFormat="1" ht="45" customHeight="1" x14ac:dyDescent="0.25">
      <c r="A52" s="237"/>
      <c r="B52" s="237"/>
      <c r="C52" s="237"/>
      <c r="D52" s="237"/>
      <c r="E52" s="248"/>
      <c r="F52" s="245"/>
      <c r="G52" s="245"/>
      <c r="H52" s="260" t="s">
        <v>10</v>
      </c>
      <c r="I52" s="260">
        <v>0</v>
      </c>
      <c r="J52" s="269">
        <v>0.25</v>
      </c>
      <c r="K52" s="269">
        <v>0.25</v>
      </c>
      <c r="L52" s="269">
        <v>0.25</v>
      </c>
      <c r="M52" s="269">
        <v>0.25</v>
      </c>
      <c r="N52" s="270">
        <v>1</v>
      </c>
      <c r="O52" s="260" t="s">
        <v>43</v>
      </c>
      <c r="P52" s="272">
        <f>0.25*13%</f>
        <v>3.2500000000000001E-2</v>
      </c>
      <c r="Q52" s="272">
        <f>0.25*19%</f>
        <v>4.7500000000000001E-2</v>
      </c>
      <c r="R52" s="272">
        <f>0.25*49%</f>
        <v>0.1225</v>
      </c>
      <c r="S52" s="272">
        <f>0.25*81%</f>
        <v>0.20250000000000001</v>
      </c>
      <c r="T52" s="269" t="s">
        <v>488</v>
      </c>
      <c r="U52" s="269" t="s">
        <v>489</v>
      </c>
      <c r="V52" s="269" t="s">
        <v>490</v>
      </c>
      <c r="W52" s="269" t="s">
        <v>491</v>
      </c>
      <c r="X52" s="40" t="s">
        <v>492</v>
      </c>
      <c r="Y52" s="40" t="s">
        <v>493</v>
      </c>
      <c r="Z52" s="40" t="s">
        <v>63</v>
      </c>
      <c r="AA52" s="41">
        <v>0.18</v>
      </c>
      <c r="AB52" s="41">
        <v>0.51</v>
      </c>
      <c r="AC52" s="41">
        <v>1</v>
      </c>
    </row>
    <row r="53" spans="1:29" s="39" customFormat="1" ht="9" customHeight="1" x14ac:dyDescent="0.25">
      <c r="A53" s="238"/>
      <c r="B53" s="238"/>
      <c r="C53" s="238"/>
      <c r="D53" s="238"/>
      <c r="E53" s="249"/>
      <c r="F53" s="246"/>
      <c r="G53" s="246"/>
      <c r="H53" s="261"/>
      <c r="I53" s="261"/>
      <c r="J53" s="265"/>
      <c r="K53" s="265"/>
      <c r="L53" s="265"/>
      <c r="M53" s="265"/>
      <c r="N53" s="275"/>
      <c r="O53" s="261"/>
      <c r="P53" s="278"/>
      <c r="Q53" s="278"/>
      <c r="R53" s="278"/>
      <c r="S53" s="278"/>
      <c r="T53" s="265"/>
      <c r="U53" s="265"/>
      <c r="V53" s="265"/>
      <c r="W53" s="265" t="s">
        <v>494</v>
      </c>
      <c r="X53" s="40" t="s">
        <v>495</v>
      </c>
      <c r="Y53" s="40" t="s">
        <v>496</v>
      </c>
      <c r="Z53" s="40" t="s">
        <v>63</v>
      </c>
      <c r="AA53" s="41">
        <v>0.24</v>
      </c>
      <c r="AB53" s="41">
        <v>0.37</v>
      </c>
      <c r="AC53" s="41">
        <v>0.62</v>
      </c>
    </row>
    <row r="54" spans="1:29" s="39" customFormat="1" ht="9" customHeight="1" x14ac:dyDescent="0.25">
      <c r="A54" s="239" t="s">
        <v>635</v>
      </c>
      <c r="B54" s="239" t="s">
        <v>635</v>
      </c>
      <c r="C54" s="236" t="s">
        <v>636</v>
      </c>
      <c r="D54" s="236" t="s">
        <v>637</v>
      </c>
      <c r="E54" s="247" t="s">
        <v>31</v>
      </c>
      <c r="F54" s="244" t="s">
        <v>11</v>
      </c>
      <c r="G54" s="244" t="s">
        <v>12</v>
      </c>
      <c r="H54" s="262" t="s">
        <v>13</v>
      </c>
      <c r="I54" s="262">
        <v>0</v>
      </c>
      <c r="J54" s="252">
        <v>0.25</v>
      </c>
      <c r="K54" s="252">
        <v>0.25</v>
      </c>
      <c r="L54" s="252">
        <v>0.25</v>
      </c>
      <c r="M54" s="252">
        <v>0.25</v>
      </c>
      <c r="N54" s="252">
        <v>1</v>
      </c>
      <c r="O54" s="262" t="s">
        <v>44</v>
      </c>
      <c r="P54" s="276">
        <f>0.25*17%</f>
        <v>4.2500000000000003E-2</v>
      </c>
      <c r="Q54" s="276">
        <f>0.25*54%</f>
        <v>0.13500000000000001</v>
      </c>
      <c r="R54" s="276">
        <f>0.25*68%</f>
        <v>0.17</v>
      </c>
      <c r="S54" s="276">
        <f>0.25*100%</f>
        <v>0.25</v>
      </c>
      <c r="T54" s="252" t="s">
        <v>497</v>
      </c>
      <c r="U54" s="252" t="s">
        <v>498</v>
      </c>
      <c r="V54" s="252" t="s">
        <v>499</v>
      </c>
      <c r="W54" s="252" t="s">
        <v>500</v>
      </c>
      <c r="X54" s="40" t="s">
        <v>501</v>
      </c>
      <c r="Y54" s="40" t="s">
        <v>502</v>
      </c>
      <c r="Z54" s="40" t="s">
        <v>69</v>
      </c>
      <c r="AA54" s="41">
        <v>0.68</v>
      </c>
      <c r="AB54" s="41">
        <v>0.92</v>
      </c>
      <c r="AC54" s="41">
        <v>1</v>
      </c>
    </row>
    <row r="55" spans="1:29" s="39" customFormat="1" ht="9" customHeight="1" x14ac:dyDescent="0.25">
      <c r="A55" s="240"/>
      <c r="B55" s="240"/>
      <c r="C55" s="237"/>
      <c r="D55" s="237"/>
      <c r="E55" s="248"/>
      <c r="F55" s="245"/>
      <c r="G55" s="245"/>
      <c r="H55" s="262"/>
      <c r="I55" s="262"/>
      <c r="J55" s="252"/>
      <c r="K55" s="252"/>
      <c r="L55" s="252"/>
      <c r="M55" s="252"/>
      <c r="N55" s="252"/>
      <c r="O55" s="262"/>
      <c r="P55" s="276"/>
      <c r="Q55" s="276"/>
      <c r="R55" s="276"/>
      <c r="S55" s="276"/>
      <c r="T55" s="252"/>
      <c r="U55" s="252"/>
      <c r="V55" s="252"/>
      <c r="W55" s="252" t="s">
        <v>503</v>
      </c>
      <c r="X55" s="40" t="s">
        <v>504</v>
      </c>
      <c r="Y55" s="40" t="s">
        <v>505</v>
      </c>
      <c r="Z55" s="40" t="s">
        <v>70</v>
      </c>
      <c r="AA55" s="41">
        <v>0.7</v>
      </c>
      <c r="AB55" s="41">
        <v>0.74</v>
      </c>
      <c r="AC55" s="41">
        <v>1</v>
      </c>
    </row>
    <row r="56" spans="1:29" s="39" customFormat="1" ht="9" customHeight="1" x14ac:dyDescent="0.25">
      <c r="A56" s="240"/>
      <c r="B56" s="240"/>
      <c r="C56" s="237"/>
      <c r="D56" s="237"/>
      <c r="E56" s="248"/>
      <c r="F56" s="245"/>
      <c r="G56" s="246"/>
      <c r="H56" s="262"/>
      <c r="I56" s="262"/>
      <c r="J56" s="252"/>
      <c r="K56" s="252"/>
      <c r="L56" s="252"/>
      <c r="M56" s="252"/>
      <c r="N56" s="252"/>
      <c r="O56" s="262"/>
      <c r="P56" s="276"/>
      <c r="Q56" s="276"/>
      <c r="R56" s="276"/>
      <c r="S56" s="276"/>
      <c r="T56" s="252"/>
      <c r="U56" s="252"/>
      <c r="V56" s="252"/>
      <c r="W56" s="252" t="s">
        <v>506</v>
      </c>
      <c r="X56" s="40" t="s">
        <v>507</v>
      </c>
      <c r="Y56" s="40" t="s">
        <v>508</v>
      </c>
      <c r="Z56" s="40" t="s">
        <v>70</v>
      </c>
      <c r="AA56" s="41">
        <v>0.52</v>
      </c>
      <c r="AB56" s="41">
        <v>0.56999999999999995</v>
      </c>
      <c r="AC56" s="41">
        <v>1</v>
      </c>
    </row>
    <row r="57" spans="1:29" s="39" customFormat="1" ht="9" customHeight="1" x14ac:dyDescent="0.25">
      <c r="A57" s="240"/>
      <c r="B57" s="240"/>
      <c r="C57" s="237"/>
      <c r="D57" s="237"/>
      <c r="E57" s="248"/>
      <c r="F57" s="245"/>
      <c r="G57" s="244" t="s">
        <v>14</v>
      </c>
      <c r="H57" s="262"/>
      <c r="I57" s="262"/>
      <c r="J57" s="252"/>
      <c r="K57" s="252"/>
      <c r="L57" s="252"/>
      <c r="M57" s="252"/>
      <c r="N57" s="252"/>
      <c r="O57" s="262"/>
      <c r="P57" s="276"/>
      <c r="Q57" s="276"/>
      <c r="R57" s="276"/>
      <c r="S57" s="276"/>
      <c r="T57" s="252"/>
      <c r="U57" s="252"/>
      <c r="V57" s="252"/>
      <c r="W57" s="252" t="s">
        <v>509</v>
      </c>
      <c r="X57" s="40" t="s">
        <v>510</v>
      </c>
      <c r="Y57" s="40" t="s">
        <v>511</v>
      </c>
      <c r="Z57" s="40" t="s">
        <v>71</v>
      </c>
      <c r="AA57" s="41">
        <v>0.31</v>
      </c>
      <c r="AB57" s="41">
        <v>0.56000000000000005</v>
      </c>
      <c r="AC57" s="41">
        <v>1</v>
      </c>
    </row>
    <row r="58" spans="1:29" s="39" customFormat="1" ht="9" customHeight="1" x14ac:dyDescent="0.25">
      <c r="A58" s="240"/>
      <c r="B58" s="240"/>
      <c r="C58" s="237"/>
      <c r="D58" s="237"/>
      <c r="E58" s="248"/>
      <c r="F58" s="245"/>
      <c r="G58" s="245"/>
      <c r="H58" s="262"/>
      <c r="I58" s="262"/>
      <c r="J58" s="252"/>
      <c r="K58" s="252"/>
      <c r="L58" s="252"/>
      <c r="M58" s="252"/>
      <c r="N58" s="252"/>
      <c r="O58" s="262"/>
      <c r="P58" s="276"/>
      <c r="Q58" s="276"/>
      <c r="R58" s="276"/>
      <c r="S58" s="276"/>
      <c r="T58" s="252"/>
      <c r="U58" s="252"/>
      <c r="V58" s="252"/>
      <c r="W58" s="252" t="s">
        <v>512</v>
      </c>
      <c r="X58" s="40" t="s">
        <v>513</v>
      </c>
      <c r="Y58" s="40" t="s">
        <v>514</v>
      </c>
      <c r="Z58" s="42" t="s">
        <v>62</v>
      </c>
      <c r="AA58" s="41">
        <v>0.42</v>
      </c>
      <c r="AB58" s="41">
        <v>0.59</v>
      </c>
      <c r="AC58" s="41">
        <v>1</v>
      </c>
    </row>
    <row r="59" spans="1:29" s="39" customFormat="1" ht="9" customHeight="1" x14ac:dyDescent="0.25">
      <c r="A59" s="240"/>
      <c r="B59" s="240"/>
      <c r="C59" s="237"/>
      <c r="D59" s="238"/>
      <c r="E59" s="248"/>
      <c r="F59" s="245"/>
      <c r="G59" s="246"/>
      <c r="H59" s="262"/>
      <c r="I59" s="262"/>
      <c r="J59" s="252"/>
      <c r="K59" s="252"/>
      <c r="L59" s="252"/>
      <c r="M59" s="252"/>
      <c r="N59" s="252"/>
      <c r="O59" s="262"/>
      <c r="P59" s="277"/>
      <c r="Q59" s="277"/>
      <c r="R59" s="277"/>
      <c r="S59" s="277"/>
      <c r="T59" s="252"/>
      <c r="U59" s="252"/>
      <c r="V59" s="252"/>
      <c r="W59" s="252" t="s">
        <v>515</v>
      </c>
      <c r="X59" s="40" t="s">
        <v>516</v>
      </c>
      <c r="Y59" s="40" t="s">
        <v>517</v>
      </c>
      <c r="Z59" s="42" t="s">
        <v>62</v>
      </c>
      <c r="AA59" s="41">
        <v>0.47</v>
      </c>
      <c r="AB59" s="41">
        <v>0.61</v>
      </c>
      <c r="AC59" s="41">
        <v>1</v>
      </c>
    </row>
    <row r="60" spans="1:29" s="39" customFormat="1" ht="13.5" customHeight="1" x14ac:dyDescent="0.25">
      <c r="A60" s="240"/>
      <c r="B60" s="240"/>
      <c r="C60" s="237"/>
      <c r="D60" s="81" t="s">
        <v>638</v>
      </c>
      <c r="E60" s="248"/>
      <c r="F60" s="245"/>
      <c r="G60" s="244" t="s">
        <v>15</v>
      </c>
      <c r="H60" s="262" t="s">
        <v>17</v>
      </c>
      <c r="I60" s="262">
        <v>0</v>
      </c>
      <c r="J60" s="252">
        <v>0.25</v>
      </c>
      <c r="K60" s="252">
        <v>0.25</v>
      </c>
      <c r="L60" s="252">
        <v>0.25</v>
      </c>
      <c r="M60" s="252">
        <v>0.25</v>
      </c>
      <c r="N60" s="252">
        <v>1</v>
      </c>
      <c r="O60" s="262" t="s">
        <v>45</v>
      </c>
      <c r="P60" s="276">
        <f>0.25*24%</f>
        <v>0.06</v>
      </c>
      <c r="Q60" s="276">
        <f>0.25*21%</f>
        <v>5.2499999999999998E-2</v>
      </c>
      <c r="R60" s="276">
        <f>0.25*38%</f>
        <v>9.5000000000000001E-2</v>
      </c>
      <c r="S60" s="276">
        <f>0.25*83%</f>
        <v>0.20749999999999999</v>
      </c>
      <c r="T60" s="252" t="s">
        <v>518</v>
      </c>
      <c r="U60" s="252" t="s">
        <v>519</v>
      </c>
      <c r="V60" s="252" t="s">
        <v>520</v>
      </c>
      <c r="W60" s="252" t="s">
        <v>521</v>
      </c>
      <c r="X60" s="40" t="s">
        <v>522</v>
      </c>
      <c r="Y60" s="40" t="s">
        <v>81</v>
      </c>
      <c r="Z60" s="40" t="s">
        <v>72</v>
      </c>
      <c r="AA60" s="41">
        <v>0.06</v>
      </c>
      <c r="AB60" s="41">
        <v>0.06</v>
      </c>
      <c r="AC60" s="41">
        <v>0.75</v>
      </c>
    </row>
    <row r="61" spans="1:29" s="39" customFormat="1" ht="13.5" customHeight="1" x14ac:dyDescent="0.25">
      <c r="A61" s="240"/>
      <c r="B61" s="240"/>
      <c r="C61" s="237"/>
      <c r="D61" s="250" t="s">
        <v>639</v>
      </c>
      <c r="E61" s="248"/>
      <c r="F61" s="245"/>
      <c r="G61" s="245"/>
      <c r="H61" s="262"/>
      <c r="I61" s="262"/>
      <c r="J61" s="252"/>
      <c r="K61" s="252"/>
      <c r="L61" s="252"/>
      <c r="M61" s="252"/>
      <c r="N61" s="252"/>
      <c r="O61" s="262"/>
      <c r="P61" s="277"/>
      <c r="Q61" s="277"/>
      <c r="R61" s="277"/>
      <c r="S61" s="277"/>
      <c r="T61" s="252"/>
      <c r="U61" s="252"/>
      <c r="V61" s="252"/>
      <c r="W61" s="252" t="s">
        <v>523</v>
      </c>
      <c r="X61" s="242" t="s">
        <v>524</v>
      </c>
      <c r="Y61" s="242" t="s">
        <v>525</v>
      </c>
      <c r="Z61" s="242" t="s">
        <v>72</v>
      </c>
      <c r="AA61" s="254">
        <v>0.24</v>
      </c>
      <c r="AB61" s="254">
        <v>0.42</v>
      </c>
      <c r="AC61" s="254">
        <v>1</v>
      </c>
    </row>
    <row r="62" spans="1:29" s="39" customFormat="1" ht="12.75" customHeight="1" x14ac:dyDescent="0.25">
      <c r="A62" s="240"/>
      <c r="B62" s="240"/>
      <c r="C62" s="237"/>
      <c r="D62" s="250"/>
      <c r="E62" s="248"/>
      <c r="F62" s="245"/>
      <c r="G62" s="246"/>
      <c r="H62" s="262"/>
      <c r="I62" s="262"/>
      <c r="J62" s="252"/>
      <c r="K62" s="252"/>
      <c r="L62" s="252"/>
      <c r="M62" s="252"/>
      <c r="N62" s="252"/>
      <c r="O62" s="262"/>
      <c r="P62" s="277"/>
      <c r="Q62" s="277"/>
      <c r="R62" s="277"/>
      <c r="S62" s="277"/>
      <c r="T62" s="252"/>
      <c r="U62" s="252"/>
      <c r="V62" s="252"/>
      <c r="W62" s="252"/>
      <c r="X62" s="243"/>
      <c r="Y62" s="243"/>
      <c r="Z62" s="243"/>
      <c r="AA62" s="255"/>
      <c r="AB62" s="255"/>
      <c r="AC62" s="255"/>
    </row>
    <row r="63" spans="1:29" s="39" customFormat="1" ht="12" customHeight="1" x14ac:dyDescent="0.25">
      <c r="A63" s="240"/>
      <c r="B63" s="240"/>
      <c r="C63" s="237"/>
      <c r="D63" s="250"/>
      <c r="E63" s="248"/>
      <c r="F63" s="245"/>
      <c r="G63" s="244" t="s">
        <v>49</v>
      </c>
      <c r="H63" s="262"/>
      <c r="I63" s="262"/>
      <c r="J63" s="252"/>
      <c r="K63" s="252"/>
      <c r="L63" s="252"/>
      <c r="M63" s="252"/>
      <c r="N63" s="252"/>
      <c r="O63" s="262"/>
      <c r="P63" s="277"/>
      <c r="Q63" s="277"/>
      <c r="R63" s="277"/>
      <c r="S63" s="277"/>
      <c r="T63" s="252"/>
      <c r="U63" s="252"/>
      <c r="V63" s="252"/>
      <c r="W63" s="252" t="s">
        <v>526</v>
      </c>
      <c r="X63" s="242" t="s">
        <v>527</v>
      </c>
      <c r="Y63" s="242" t="s">
        <v>528</v>
      </c>
      <c r="Z63" s="242" t="s">
        <v>529</v>
      </c>
      <c r="AA63" s="254">
        <v>0.14000000000000001</v>
      </c>
      <c r="AB63" s="254">
        <v>0.25</v>
      </c>
      <c r="AC63" s="254">
        <v>0.41</v>
      </c>
    </row>
    <row r="64" spans="1:29" s="39" customFormat="1" ht="26.25" customHeight="1" x14ac:dyDescent="0.25">
      <c r="A64" s="240"/>
      <c r="B64" s="240"/>
      <c r="C64" s="237"/>
      <c r="D64" s="81" t="s">
        <v>640</v>
      </c>
      <c r="E64" s="248"/>
      <c r="F64" s="245"/>
      <c r="G64" s="245"/>
      <c r="H64" s="262"/>
      <c r="I64" s="262"/>
      <c r="J64" s="252"/>
      <c r="K64" s="252"/>
      <c r="L64" s="252"/>
      <c r="M64" s="252"/>
      <c r="N64" s="252"/>
      <c r="O64" s="262"/>
      <c r="P64" s="277"/>
      <c r="Q64" s="277"/>
      <c r="R64" s="277"/>
      <c r="S64" s="277"/>
      <c r="T64" s="252"/>
      <c r="U64" s="252"/>
      <c r="V64" s="252"/>
      <c r="W64" s="252"/>
      <c r="X64" s="243"/>
      <c r="Y64" s="243"/>
      <c r="Z64" s="243"/>
      <c r="AA64" s="255"/>
      <c r="AB64" s="255"/>
      <c r="AC64" s="255"/>
    </row>
    <row r="65" spans="1:29" s="39" customFormat="1" ht="26.25" customHeight="1" x14ac:dyDescent="0.25">
      <c r="A65" s="240"/>
      <c r="B65" s="240"/>
      <c r="C65" s="237"/>
      <c r="D65" s="81" t="s">
        <v>641</v>
      </c>
      <c r="E65" s="248"/>
      <c r="F65" s="245"/>
      <c r="G65" s="245"/>
      <c r="H65" s="262"/>
      <c r="I65" s="262"/>
      <c r="J65" s="252"/>
      <c r="K65" s="252"/>
      <c r="L65" s="252"/>
      <c r="M65" s="252"/>
      <c r="N65" s="252"/>
      <c r="O65" s="262"/>
      <c r="P65" s="277"/>
      <c r="Q65" s="277"/>
      <c r="R65" s="277"/>
      <c r="S65" s="277"/>
      <c r="T65" s="252"/>
      <c r="U65" s="252"/>
      <c r="V65" s="252"/>
      <c r="W65" s="252"/>
      <c r="X65" s="242" t="s">
        <v>531</v>
      </c>
      <c r="Y65" s="242" t="s">
        <v>532</v>
      </c>
      <c r="Z65" s="242" t="s">
        <v>70</v>
      </c>
      <c r="AA65" s="254">
        <v>0.39</v>
      </c>
      <c r="AB65" s="254">
        <v>0.78</v>
      </c>
      <c r="AC65" s="254">
        <v>0.99</v>
      </c>
    </row>
    <row r="66" spans="1:29" s="39" customFormat="1" ht="24" customHeight="1" x14ac:dyDescent="0.25">
      <c r="A66" s="240"/>
      <c r="B66" s="240"/>
      <c r="C66" s="237"/>
      <c r="D66" s="81" t="s">
        <v>642</v>
      </c>
      <c r="E66" s="248"/>
      <c r="F66" s="245"/>
      <c r="G66" s="246"/>
      <c r="H66" s="262"/>
      <c r="I66" s="262"/>
      <c r="J66" s="252"/>
      <c r="K66" s="252"/>
      <c r="L66" s="252"/>
      <c r="M66" s="252"/>
      <c r="N66" s="252"/>
      <c r="O66" s="262"/>
      <c r="P66" s="277"/>
      <c r="Q66" s="277"/>
      <c r="R66" s="277"/>
      <c r="S66" s="277"/>
      <c r="T66" s="252"/>
      <c r="U66" s="252"/>
      <c r="V66" s="252"/>
      <c r="W66" s="252" t="s">
        <v>530</v>
      </c>
      <c r="X66" s="243"/>
      <c r="Y66" s="243"/>
      <c r="Z66" s="243"/>
      <c r="AA66" s="255"/>
      <c r="AB66" s="255"/>
      <c r="AC66" s="255"/>
    </row>
    <row r="67" spans="1:29" s="39" customFormat="1" ht="38.25" customHeight="1" x14ac:dyDescent="0.25">
      <c r="A67" s="240"/>
      <c r="B67" s="240"/>
      <c r="C67" s="237"/>
      <c r="D67" s="81" t="s">
        <v>643</v>
      </c>
      <c r="E67" s="248"/>
      <c r="F67" s="245"/>
      <c r="G67" s="244" t="s">
        <v>16</v>
      </c>
      <c r="H67" s="262"/>
      <c r="I67" s="262"/>
      <c r="J67" s="252"/>
      <c r="K67" s="252"/>
      <c r="L67" s="252"/>
      <c r="M67" s="252"/>
      <c r="N67" s="252"/>
      <c r="O67" s="262"/>
      <c r="P67" s="277"/>
      <c r="Q67" s="277"/>
      <c r="R67" s="277"/>
      <c r="S67" s="277"/>
      <c r="T67" s="252"/>
      <c r="U67" s="252"/>
      <c r="V67" s="252"/>
      <c r="W67" s="252"/>
      <c r="X67" s="242" t="s">
        <v>534</v>
      </c>
      <c r="Y67" s="242" t="s">
        <v>82</v>
      </c>
      <c r="Z67" s="242" t="s">
        <v>535</v>
      </c>
      <c r="AA67" s="254">
        <v>0.37</v>
      </c>
      <c r="AB67" s="254">
        <v>0.74</v>
      </c>
      <c r="AC67" s="254">
        <v>1</v>
      </c>
    </row>
    <row r="68" spans="1:29" s="39" customFormat="1" ht="36.75" customHeight="1" x14ac:dyDescent="0.25">
      <c r="A68" s="240"/>
      <c r="B68" s="240"/>
      <c r="C68" s="238"/>
      <c r="D68" s="81" t="s">
        <v>644</v>
      </c>
      <c r="E68" s="248"/>
      <c r="F68" s="246"/>
      <c r="G68" s="246"/>
      <c r="H68" s="262"/>
      <c r="I68" s="262"/>
      <c r="J68" s="252"/>
      <c r="K68" s="252"/>
      <c r="L68" s="252"/>
      <c r="M68" s="252"/>
      <c r="N68" s="252"/>
      <c r="O68" s="262"/>
      <c r="P68" s="277"/>
      <c r="Q68" s="277"/>
      <c r="R68" s="277"/>
      <c r="S68" s="277"/>
      <c r="T68" s="252"/>
      <c r="U68" s="252"/>
      <c r="V68" s="252"/>
      <c r="W68" s="252" t="s">
        <v>533</v>
      </c>
      <c r="X68" s="243"/>
      <c r="Y68" s="243"/>
      <c r="Z68" s="243"/>
      <c r="AA68" s="255"/>
      <c r="AB68" s="255"/>
      <c r="AC68" s="255"/>
    </row>
    <row r="69" spans="1:29" s="39" customFormat="1" ht="9" customHeight="1" x14ac:dyDescent="0.25">
      <c r="A69" s="240"/>
      <c r="B69" s="240"/>
      <c r="C69" s="236" t="s">
        <v>645</v>
      </c>
      <c r="D69" s="250" t="s">
        <v>646</v>
      </c>
      <c r="E69" s="248"/>
      <c r="F69" s="259" t="s">
        <v>18</v>
      </c>
      <c r="G69" s="244" t="s">
        <v>19</v>
      </c>
      <c r="H69" s="260" t="s">
        <v>50</v>
      </c>
      <c r="I69" s="260">
        <v>0</v>
      </c>
      <c r="J69" s="269">
        <v>0.25</v>
      </c>
      <c r="K69" s="269">
        <v>0.25</v>
      </c>
      <c r="L69" s="269">
        <v>0.25</v>
      </c>
      <c r="M69" s="269">
        <v>0.25</v>
      </c>
      <c r="N69" s="270">
        <v>1</v>
      </c>
      <c r="O69" s="260" t="s">
        <v>53</v>
      </c>
      <c r="P69" s="272">
        <f>0.25*20%</f>
        <v>0.05</v>
      </c>
      <c r="Q69" s="272">
        <f>0.25*44%</f>
        <v>0.11</v>
      </c>
      <c r="R69" s="272">
        <f>0.25*62%</f>
        <v>0.155</v>
      </c>
      <c r="S69" s="272">
        <f>0.25*96%</f>
        <v>0.24</v>
      </c>
      <c r="T69" s="269" t="s">
        <v>536</v>
      </c>
      <c r="U69" s="269" t="s">
        <v>537</v>
      </c>
      <c r="V69" s="269" t="s">
        <v>538</v>
      </c>
      <c r="W69" s="269" t="s">
        <v>539</v>
      </c>
      <c r="X69" s="40" t="s">
        <v>540</v>
      </c>
      <c r="Y69" s="40" t="s">
        <v>541</v>
      </c>
      <c r="Z69" s="40" t="s">
        <v>73</v>
      </c>
      <c r="AA69" s="41">
        <v>0.49</v>
      </c>
      <c r="AB69" s="41">
        <v>0.66</v>
      </c>
      <c r="AC69" s="41">
        <v>0.96</v>
      </c>
    </row>
    <row r="70" spans="1:29" s="39" customFormat="1" ht="9" customHeight="1" x14ac:dyDescent="0.25">
      <c r="A70" s="240"/>
      <c r="B70" s="240"/>
      <c r="C70" s="237"/>
      <c r="D70" s="250"/>
      <c r="E70" s="248"/>
      <c r="F70" s="259"/>
      <c r="G70" s="245"/>
      <c r="H70" s="263"/>
      <c r="I70" s="263"/>
      <c r="J70" s="264"/>
      <c r="K70" s="264"/>
      <c r="L70" s="264"/>
      <c r="M70" s="264"/>
      <c r="N70" s="271"/>
      <c r="O70" s="263"/>
      <c r="P70" s="273"/>
      <c r="Q70" s="273"/>
      <c r="R70" s="273"/>
      <c r="S70" s="273"/>
      <c r="T70" s="264"/>
      <c r="U70" s="264"/>
      <c r="V70" s="264"/>
      <c r="W70" s="264" t="s">
        <v>542</v>
      </c>
      <c r="X70" s="40" t="s">
        <v>543</v>
      </c>
      <c r="Y70" s="40" t="s">
        <v>544</v>
      </c>
      <c r="Z70" s="40" t="s">
        <v>73</v>
      </c>
      <c r="AA70" s="41">
        <v>0.45</v>
      </c>
      <c r="AB70" s="41">
        <v>0.6</v>
      </c>
      <c r="AC70" s="41">
        <v>1</v>
      </c>
    </row>
    <row r="71" spans="1:29" s="39" customFormat="1" ht="9" customHeight="1" x14ac:dyDescent="0.25">
      <c r="A71" s="240"/>
      <c r="B71" s="240"/>
      <c r="C71" s="237"/>
      <c r="D71" s="250"/>
      <c r="E71" s="248"/>
      <c r="F71" s="259"/>
      <c r="G71" s="245"/>
      <c r="H71" s="263"/>
      <c r="I71" s="263"/>
      <c r="J71" s="264"/>
      <c r="K71" s="264"/>
      <c r="L71" s="264"/>
      <c r="M71" s="264"/>
      <c r="N71" s="271"/>
      <c r="O71" s="263"/>
      <c r="P71" s="273"/>
      <c r="Q71" s="273"/>
      <c r="R71" s="273"/>
      <c r="S71" s="273"/>
      <c r="T71" s="264"/>
      <c r="U71" s="264"/>
      <c r="V71" s="264"/>
      <c r="W71" s="264" t="s">
        <v>545</v>
      </c>
      <c r="X71" s="40" t="s">
        <v>546</v>
      </c>
      <c r="Y71" s="40" t="s">
        <v>547</v>
      </c>
      <c r="Z71" s="40" t="s">
        <v>73</v>
      </c>
      <c r="AA71" s="41">
        <v>0.59</v>
      </c>
      <c r="AB71" s="41">
        <v>0.73</v>
      </c>
      <c r="AC71" s="41">
        <v>1</v>
      </c>
    </row>
    <row r="72" spans="1:29" s="39" customFormat="1" ht="9" customHeight="1" x14ac:dyDescent="0.25">
      <c r="A72" s="240"/>
      <c r="B72" s="240"/>
      <c r="C72" s="237"/>
      <c r="D72" s="250"/>
      <c r="E72" s="248"/>
      <c r="F72" s="259"/>
      <c r="G72" s="246"/>
      <c r="H72" s="261"/>
      <c r="I72" s="261"/>
      <c r="J72" s="265"/>
      <c r="K72" s="265"/>
      <c r="L72" s="265"/>
      <c r="M72" s="265"/>
      <c r="N72" s="275"/>
      <c r="O72" s="261"/>
      <c r="P72" s="278"/>
      <c r="Q72" s="278"/>
      <c r="R72" s="278"/>
      <c r="S72" s="278"/>
      <c r="T72" s="265"/>
      <c r="U72" s="265"/>
      <c r="V72" s="265"/>
      <c r="W72" s="265" t="s">
        <v>548</v>
      </c>
      <c r="X72" s="40" t="s">
        <v>549</v>
      </c>
      <c r="Y72" s="40" t="s">
        <v>550</v>
      </c>
      <c r="Z72" s="40" t="s">
        <v>73</v>
      </c>
      <c r="AA72" s="41">
        <v>0.28000000000000003</v>
      </c>
      <c r="AB72" s="41">
        <v>0.54</v>
      </c>
      <c r="AC72" s="41">
        <v>0.9</v>
      </c>
    </row>
    <row r="73" spans="1:29" s="39" customFormat="1" ht="18" customHeight="1" x14ac:dyDescent="0.25">
      <c r="A73" s="240"/>
      <c r="B73" s="240"/>
      <c r="C73" s="237"/>
      <c r="D73" s="250" t="s">
        <v>647</v>
      </c>
      <c r="E73" s="248"/>
      <c r="F73" s="259"/>
      <c r="G73" s="244" t="s">
        <v>20</v>
      </c>
      <c r="H73" s="262" t="s">
        <v>54</v>
      </c>
      <c r="I73" s="262">
        <v>0</v>
      </c>
      <c r="J73" s="252">
        <v>0.25</v>
      </c>
      <c r="K73" s="252">
        <v>0.25</v>
      </c>
      <c r="L73" s="252">
        <v>0.25</v>
      </c>
      <c r="M73" s="252">
        <v>0.25</v>
      </c>
      <c r="N73" s="270">
        <v>1</v>
      </c>
      <c r="O73" s="260" t="s">
        <v>55</v>
      </c>
      <c r="P73" s="272">
        <f>0.25*10%</f>
        <v>2.5000000000000001E-2</v>
      </c>
      <c r="Q73" s="272">
        <f>0.25*57%</f>
        <v>0.14249999999999999</v>
      </c>
      <c r="R73" s="272">
        <f>0.25*73%</f>
        <v>0.1825</v>
      </c>
      <c r="S73" s="272">
        <f>0.25*100%</f>
        <v>0.25</v>
      </c>
      <c r="T73" s="252" t="s">
        <v>536</v>
      </c>
      <c r="U73" s="252" t="s">
        <v>551</v>
      </c>
      <c r="V73" s="252" t="s">
        <v>552</v>
      </c>
      <c r="W73" s="252" t="s">
        <v>553</v>
      </c>
      <c r="X73" s="40" t="s">
        <v>554</v>
      </c>
      <c r="Y73" s="40" t="s">
        <v>83</v>
      </c>
      <c r="Z73" s="40" t="s">
        <v>73</v>
      </c>
      <c r="AA73" s="41">
        <v>0.52</v>
      </c>
      <c r="AB73" s="41">
        <v>0.69</v>
      </c>
      <c r="AC73" s="41">
        <v>1</v>
      </c>
    </row>
    <row r="74" spans="1:29" s="39" customFormat="1" ht="18" x14ac:dyDescent="0.25">
      <c r="A74" s="240"/>
      <c r="B74" s="240"/>
      <c r="C74" s="237"/>
      <c r="D74" s="251"/>
      <c r="E74" s="248"/>
      <c r="F74" s="259"/>
      <c r="G74" s="246"/>
      <c r="H74" s="262"/>
      <c r="I74" s="262"/>
      <c r="J74" s="252"/>
      <c r="K74" s="252"/>
      <c r="L74" s="252"/>
      <c r="M74" s="252"/>
      <c r="N74" s="271"/>
      <c r="O74" s="263"/>
      <c r="P74" s="273"/>
      <c r="Q74" s="273"/>
      <c r="R74" s="273"/>
      <c r="S74" s="273"/>
      <c r="T74" s="252"/>
      <c r="U74" s="252"/>
      <c r="V74" s="252"/>
      <c r="W74" s="252" t="s">
        <v>555</v>
      </c>
      <c r="X74" s="40" t="s">
        <v>556</v>
      </c>
      <c r="Y74" s="40" t="s">
        <v>84</v>
      </c>
      <c r="Z74" s="40" t="s">
        <v>73</v>
      </c>
      <c r="AA74" s="41">
        <v>0.57999999999999996</v>
      </c>
      <c r="AB74" s="41">
        <v>0.74</v>
      </c>
      <c r="AC74" s="41">
        <v>1</v>
      </c>
    </row>
    <row r="75" spans="1:29" s="39" customFormat="1" ht="18" x14ac:dyDescent="0.25">
      <c r="A75" s="240"/>
      <c r="B75" s="240"/>
      <c r="C75" s="237"/>
      <c r="D75" s="251"/>
      <c r="E75" s="248"/>
      <c r="F75" s="259"/>
      <c r="G75" s="244" t="s">
        <v>21</v>
      </c>
      <c r="H75" s="262"/>
      <c r="I75" s="262"/>
      <c r="J75" s="252"/>
      <c r="K75" s="252"/>
      <c r="L75" s="252"/>
      <c r="M75" s="252"/>
      <c r="N75" s="271"/>
      <c r="O75" s="263"/>
      <c r="P75" s="273"/>
      <c r="Q75" s="273"/>
      <c r="R75" s="273"/>
      <c r="S75" s="273"/>
      <c r="T75" s="252"/>
      <c r="U75" s="252"/>
      <c r="V75" s="252"/>
      <c r="W75" s="252" t="s">
        <v>557</v>
      </c>
      <c r="X75" s="40" t="s">
        <v>558</v>
      </c>
      <c r="Y75" s="40" t="s">
        <v>559</v>
      </c>
      <c r="Z75" s="40" t="s">
        <v>73</v>
      </c>
      <c r="AA75" s="41">
        <v>0.51</v>
      </c>
      <c r="AB75" s="41">
        <v>0.66</v>
      </c>
      <c r="AC75" s="41">
        <v>1</v>
      </c>
    </row>
    <row r="76" spans="1:29" s="39" customFormat="1" ht="9" customHeight="1" x14ac:dyDescent="0.25">
      <c r="A76" s="240"/>
      <c r="B76" s="240"/>
      <c r="C76" s="238"/>
      <c r="D76" s="251"/>
      <c r="E76" s="248"/>
      <c r="F76" s="259"/>
      <c r="G76" s="246"/>
      <c r="H76" s="262"/>
      <c r="I76" s="262"/>
      <c r="J76" s="252"/>
      <c r="K76" s="252"/>
      <c r="L76" s="252"/>
      <c r="M76" s="252"/>
      <c r="N76" s="275"/>
      <c r="O76" s="261"/>
      <c r="P76" s="274"/>
      <c r="Q76" s="274"/>
      <c r="R76" s="274"/>
      <c r="S76" s="274"/>
      <c r="T76" s="252"/>
      <c r="U76" s="252"/>
      <c r="V76" s="252"/>
      <c r="W76" s="252" t="s">
        <v>560</v>
      </c>
      <c r="X76" s="40" t="s">
        <v>561</v>
      </c>
      <c r="Y76" s="40" t="s">
        <v>562</v>
      </c>
      <c r="Z76" s="40" t="s">
        <v>73</v>
      </c>
      <c r="AA76" s="41">
        <v>0.65</v>
      </c>
      <c r="AB76" s="41">
        <v>0.78</v>
      </c>
      <c r="AC76" s="41">
        <v>1</v>
      </c>
    </row>
    <row r="77" spans="1:29" s="39" customFormat="1" ht="27" customHeight="1" x14ac:dyDescent="0.25">
      <c r="A77" s="240"/>
      <c r="B77" s="240"/>
      <c r="C77" s="236" t="s">
        <v>636</v>
      </c>
      <c r="D77" s="251" t="s">
        <v>648</v>
      </c>
      <c r="E77" s="248"/>
      <c r="F77" s="245" t="s">
        <v>22</v>
      </c>
      <c r="G77" s="44" t="s">
        <v>23</v>
      </c>
      <c r="H77" s="260" t="s">
        <v>25</v>
      </c>
      <c r="I77" s="260">
        <v>0</v>
      </c>
      <c r="J77" s="269">
        <v>0.25</v>
      </c>
      <c r="K77" s="269">
        <v>0.25</v>
      </c>
      <c r="L77" s="269">
        <v>0.25</v>
      </c>
      <c r="M77" s="269">
        <v>0.25</v>
      </c>
      <c r="N77" s="270">
        <v>1</v>
      </c>
      <c r="O77" s="260" t="s">
        <v>46</v>
      </c>
      <c r="P77" s="272">
        <f>0.25*7%</f>
        <v>1.7500000000000002E-2</v>
      </c>
      <c r="Q77" s="272">
        <f>0.25*17%</f>
        <v>4.2500000000000003E-2</v>
      </c>
      <c r="R77" s="272">
        <f>0.25*44%</f>
        <v>0.11</v>
      </c>
      <c r="S77" s="272">
        <f>0.25*100%</f>
        <v>0.25</v>
      </c>
      <c r="T77" s="269" t="s">
        <v>442</v>
      </c>
      <c r="U77" s="269" t="s">
        <v>563</v>
      </c>
      <c r="V77" s="269" t="s">
        <v>564</v>
      </c>
      <c r="W77" s="269" t="s">
        <v>565</v>
      </c>
      <c r="X77" s="40" t="s">
        <v>566</v>
      </c>
      <c r="Y77" s="40" t="s">
        <v>567</v>
      </c>
      <c r="Z77" s="40" t="s">
        <v>71</v>
      </c>
      <c r="AA77" s="41">
        <v>0.1</v>
      </c>
      <c r="AB77" s="41">
        <v>0.53</v>
      </c>
      <c r="AC77" s="41">
        <v>1</v>
      </c>
    </row>
    <row r="78" spans="1:29" s="39" customFormat="1" ht="18" customHeight="1" x14ac:dyDescent="0.25">
      <c r="A78" s="240"/>
      <c r="B78" s="240"/>
      <c r="C78" s="237"/>
      <c r="D78" s="251"/>
      <c r="E78" s="248"/>
      <c r="F78" s="245"/>
      <c r="G78" s="44" t="s">
        <v>51</v>
      </c>
      <c r="H78" s="263"/>
      <c r="I78" s="263"/>
      <c r="J78" s="264"/>
      <c r="K78" s="264"/>
      <c r="L78" s="264"/>
      <c r="M78" s="264"/>
      <c r="N78" s="271"/>
      <c r="O78" s="263"/>
      <c r="P78" s="273"/>
      <c r="Q78" s="273"/>
      <c r="R78" s="273"/>
      <c r="S78" s="273"/>
      <c r="T78" s="264"/>
      <c r="U78" s="264"/>
      <c r="V78" s="264"/>
      <c r="W78" s="264" t="s">
        <v>568</v>
      </c>
      <c r="X78" s="253" t="s">
        <v>569</v>
      </c>
      <c r="Y78" s="242" t="s">
        <v>570</v>
      </c>
      <c r="Z78" s="242" t="s">
        <v>71</v>
      </c>
      <c r="AA78" s="268">
        <v>0.43</v>
      </c>
      <c r="AB78" s="268">
        <v>0.65</v>
      </c>
      <c r="AC78" s="268">
        <v>1</v>
      </c>
    </row>
    <row r="79" spans="1:29" s="39" customFormat="1" ht="9" customHeight="1" x14ac:dyDescent="0.25">
      <c r="A79" s="240"/>
      <c r="B79" s="240"/>
      <c r="C79" s="237"/>
      <c r="D79" s="251"/>
      <c r="E79" s="248"/>
      <c r="F79" s="245"/>
      <c r="G79" s="44" t="s">
        <v>24</v>
      </c>
      <c r="H79" s="263"/>
      <c r="I79" s="263"/>
      <c r="J79" s="264"/>
      <c r="K79" s="264"/>
      <c r="L79" s="264"/>
      <c r="M79" s="264"/>
      <c r="N79" s="271"/>
      <c r="O79" s="263"/>
      <c r="P79" s="273"/>
      <c r="Q79" s="273"/>
      <c r="R79" s="273"/>
      <c r="S79" s="273"/>
      <c r="T79" s="264"/>
      <c r="U79" s="264"/>
      <c r="V79" s="264"/>
      <c r="W79" s="264"/>
      <c r="X79" s="253"/>
      <c r="Y79" s="243"/>
      <c r="Z79" s="243"/>
      <c r="AA79" s="268"/>
      <c r="AB79" s="268"/>
      <c r="AC79" s="268"/>
    </row>
    <row r="80" spans="1:29" s="39" customFormat="1" ht="9" customHeight="1" x14ac:dyDescent="0.25">
      <c r="A80" s="241"/>
      <c r="B80" s="241"/>
      <c r="C80" s="238"/>
      <c r="D80" s="251"/>
      <c r="E80" s="249"/>
      <c r="F80" s="245"/>
      <c r="G80" s="44" t="s">
        <v>26</v>
      </c>
      <c r="H80" s="263"/>
      <c r="I80" s="263"/>
      <c r="J80" s="264"/>
      <c r="K80" s="264"/>
      <c r="L80" s="264"/>
      <c r="M80" s="264"/>
      <c r="N80" s="271"/>
      <c r="O80" s="263"/>
      <c r="P80" s="273"/>
      <c r="Q80" s="273"/>
      <c r="R80" s="273"/>
      <c r="S80" s="273"/>
      <c r="T80" s="264"/>
      <c r="U80" s="264"/>
      <c r="V80" s="264"/>
      <c r="W80" s="264" t="s">
        <v>571</v>
      </c>
      <c r="X80" s="40" t="s">
        <v>572</v>
      </c>
      <c r="Y80" s="40" t="s">
        <v>85</v>
      </c>
      <c r="Z80" s="40" t="s">
        <v>71</v>
      </c>
      <c r="AA80" s="41">
        <v>0.03</v>
      </c>
      <c r="AB80" s="41">
        <v>0.2</v>
      </c>
      <c r="AC80" s="41">
        <v>1</v>
      </c>
    </row>
    <row r="81" spans="1:29" s="39" customFormat="1" ht="28.5" customHeight="1" x14ac:dyDescent="0.25">
      <c r="A81" s="236" t="s">
        <v>628</v>
      </c>
      <c r="B81" s="236" t="s">
        <v>629</v>
      </c>
      <c r="C81" s="236" t="s">
        <v>630</v>
      </c>
      <c r="D81" s="250" t="s">
        <v>623</v>
      </c>
      <c r="E81" s="247" t="s">
        <v>30</v>
      </c>
      <c r="F81" s="259" t="s">
        <v>27</v>
      </c>
      <c r="G81" s="43" t="s">
        <v>28</v>
      </c>
      <c r="H81" s="260" t="s">
        <v>52</v>
      </c>
      <c r="I81" s="262">
        <v>0</v>
      </c>
      <c r="J81" s="252">
        <v>0.25</v>
      </c>
      <c r="K81" s="252">
        <v>0.25</v>
      </c>
      <c r="L81" s="252">
        <v>0.25</v>
      </c>
      <c r="M81" s="252">
        <v>0.25</v>
      </c>
      <c r="N81" s="266">
        <v>1</v>
      </c>
      <c r="O81" s="262" t="s">
        <v>47</v>
      </c>
      <c r="P81" s="267">
        <f>0.25*10%</f>
        <v>2.5000000000000001E-2</v>
      </c>
      <c r="Q81" s="267">
        <f>0.25*86%</f>
        <v>0.215</v>
      </c>
      <c r="R81" s="267">
        <f>0.25*94%</f>
        <v>0.23499999999999999</v>
      </c>
      <c r="S81" s="267">
        <f>0.25*100%</f>
        <v>0.25</v>
      </c>
      <c r="T81" s="252" t="s">
        <v>410</v>
      </c>
      <c r="U81" s="252" t="s">
        <v>573</v>
      </c>
      <c r="V81" s="252" t="s">
        <v>574</v>
      </c>
      <c r="W81" s="252" t="s">
        <v>575</v>
      </c>
      <c r="X81" s="40" t="s">
        <v>576</v>
      </c>
      <c r="Y81" s="40" t="s">
        <v>577</v>
      </c>
      <c r="Z81" s="40" t="s">
        <v>74</v>
      </c>
      <c r="AA81" s="41">
        <v>0.99</v>
      </c>
      <c r="AB81" s="41">
        <v>0.99</v>
      </c>
      <c r="AC81" s="41">
        <v>1</v>
      </c>
    </row>
    <row r="82" spans="1:29" s="39" customFormat="1" ht="37.5" customHeight="1" x14ac:dyDescent="0.25">
      <c r="A82" s="237"/>
      <c r="B82" s="237"/>
      <c r="C82" s="238"/>
      <c r="D82" s="250"/>
      <c r="E82" s="248"/>
      <c r="F82" s="259"/>
      <c r="G82" s="72" t="s">
        <v>29</v>
      </c>
      <c r="H82" s="261"/>
      <c r="I82" s="262"/>
      <c r="J82" s="252"/>
      <c r="K82" s="252"/>
      <c r="L82" s="252"/>
      <c r="M82" s="252"/>
      <c r="N82" s="266"/>
      <c r="O82" s="262"/>
      <c r="P82" s="267"/>
      <c r="Q82" s="267"/>
      <c r="R82" s="267"/>
      <c r="S82" s="267"/>
      <c r="T82" s="252"/>
      <c r="U82" s="252"/>
      <c r="V82" s="252"/>
      <c r="W82" s="252" t="s">
        <v>578</v>
      </c>
      <c r="X82" s="45" t="s">
        <v>579</v>
      </c>
      <c r="Y82" s="45" t="s">
        <v>86</v>
      </c>
      <c r="Z82" s="45" t="s">
        <v>74</v>
      </c>
      <c r="AA82" s="82">
        <v>0.15</v>
      </c>
      <c r="AB82" s="82">
        <v>0.68</v>
      </c>
      <c r="AC82" s="82">
        <v>1</v>
      </c>
    </row>
    <row r="83" spans="1:29" s="84" customFormat="1" ht="36.75" customHeight="1" x14ac:dyDescent="0.25">
      <c r="A83" s="238"/>
      <c r="B83" s="238"/>
      <c r="C83" s="88" t="s">
        <v>633</v>
      </c>
      <c r="D83" s="250"/>
      <c r="E83" s="249"/>
      <c r="F83" s="69" t="s">
        <v>271</v>
      </c>
      <c r="G83" s="69" t="s">
        <v>272</v>
      </c>
      <c r="H83" s="68" t="s">
        <v>273</v>
      </c>
      <c r="I83" s="68">
        <v>0</v>
      </c>
      <c r="J83" s="66">
        <v>0.25</v>
      </c>
      <c r="K83" s="66">
        <v>0.25</v>
      </c>
      <c r="L83" s="66">
        <v>0.25</v>
      </c>
      <c r="M83" s="66">
        <v>0.25</v>
      </c>
      <c r="N83" s="67">
        <v>1</v>
      </c>
      <c r="O83" s="68" t="s">
        <v>274</v>
      </c>
      <c r="P83" s="83">
        <f>0.25*20%</f>
        <v>0.05</v>
      </c>
      <c r="Q83" s="83">
        <f>0.25*45%</f>
        <v>0.1125</v>
      </c>
      <c r="R83" s="83">
        <f>0.25*73%</f>
        <v>0.1825</v>
      </c>
      <c r="S83" s="83">
        <f>0.25*100%</f>
        <v>0.25</v>
      </c>
      <c r="T83" s="66" t="s">
        <v>580</v>
      </c>
      <c r="U83" s="66" t="s">
        <v>581</v>
      </c>
      <c r="V83" s="66" t="s">
        <v>582</v>
      </c>
      <c r="W83" s="66" t="s">
        <v>583</v>
      </c>
      <c r="X83" s="70" t="s">
        <v>584</v>
      </c>
      <c r="Y83" s="70" t="s">
        <v>585</v>
      </c>
      <c r="Z83" s="70" t="s">
        <v>275</v>
      </c>
      <c r="AA83" s="71">
        <v>0.27</v>
      </c>
      <c r="AB83" s="71">
        <v>0.42</v>
      </c>
      <c r="AC83" s="71">
        <v>1</v>
      </c>
    </row>
  </sheetData>
  <mergeCells count="356">
    <mergeCell ref="H6:H17"/>
    <mergeCell ref="A3:C3"/>
    <mergeCell ref="A1:D2"/>
    <mergeCell ref="H4:O4"/>
    <mergeCell ref="P4:S4"/>
    <mergeCell ref="T4:W4"/>
    <mergeCell ref="X4:Z4"/>
    <mergeCell ref="AA4:AC4"/>
    <mergeCell ref="W6:W17"/>
    <mergeCell ref="G12:G17"/>
    <mergeCell ref="R6:R17"/>
    <mergeCell ref="S6:S17"/>
    <mergeCell ref="T6:T17"/>
    <mergeCell ref="U6:U17"/>
    <mergeCell ref="V6:V17"/>
    <mergeCell ref="C6:C11"/>
    <mergeCell ref="A6:A53"/>
    <mergeCell ref="B6:B53"/>
    <mergeCell ref="C12:C37"/>
    <mergeCell ref="C38:C40"/>
    <mergeCell ref="C41:C53"/>
    <mergeCell ref="A4:G4"/>
    <mergeCell ref="J18:J29"/>
    <mergeCell ref="K18:K29"/>
    <mergeCell ref="L18:L29"/>
    <mergeCell ref="M18:M29"/>
    <mergeCell ref="N18:N29"/>
    <mergeCell ref="Q6:Q17"/>
    <mergeCell ref="K6:K17"/>
    <mergeCell ref="L6:L17"/>
    <mergeCell ref="M6:M17"/>
    <mergeCell ref="N6:N17"/>
    <mergeCell ref="O6:O17"/>
    <mergeCell ref="P6:P17"/>
    <mergeCell ref="J6:J17"/>
    <mergeCell ref="Y19:Y29"/>
    <mergeCell ref="G30:G43"/>
    <mergeCell ref="H30:H31"/>
    <mergeCell ref="I30:I31"/>
    <mergeCell ref="J30:J31"/>
    <mergeCell ref="K30:K31"/>
    <mergeCell ref="L30:L31"/>
    <mergeCell ref="O18:O29"/>
    <mergeCell ref="P18:P29"/>
    <mergeCell ref="Q18:Q29"/>
    <mergeCell ref="R18:R29"/>
    <mergeCell ref="S18:S29"/>
    <mergeCell ref="T18:T29"/>
    <mergeCell ref="S30:S31"/>
    <mergeCell ref="T30:T31"/>
    <mergeCell ref="U30:U31"/>
    <mergeCell ref="V30:V31"/>
    <mergeCell ref="W30:W31"/>
    <mergeCell ref="H32:H33"/>
    <mergeCell ref="I32:I33"/>
    <mergeCell ref="G18:G29"/>
    <mergeCell ref="H18:H29"/>
    <mergeCell ref="I18:I29"/>
    <mergeCell ref="M30:M31"/>
    <mergeCell ref="N30:N31"/>
    <mergeCell ref="O30:O31"/>
    <mergeCell ref="P30:P31"/>
    <mergeCell ref="Q30:Q31"/>
    <mergeCell ref="R30:R31"/>
    <mergeCell ref="U18:U29"/>
    <mergeCell ref="V18:V29"/>
    <mergeCell ref="W18:W29"/>
    <mergeCell ref="U32:U33"/>
    <mergeCell ref="V32:V33"/>
    <mergeCell ref="M34:M35"/>
    <mergeCell ref="N34:N35"/>
    <mergeCell ref="O34:O35"/>
    <mergeCell ref="P34:P35"/>
    <mergeCell ref="W32:W33"/>
    <mergeCell ref="Q32:Q33"/>
    <mergeCell ref="R32:R33"/>
    <mergeCell ref="S34:S35"/>
    <mergeCell ref="T34:T35"/>
    <mergeCell ref="U34:U35"/>
    <mergeCell ref="V34:V35"/>
    <mergeCell ref="W34:W35"/>
    <mergeCell ref="Q34:Q35"/>
    <mergeCell ref="R34:R35"/>
    <mergeCell ref="J34:J35"/>
    <mergeCell ref="K34:K35"/>
    <mergeCell ref="L34:L35"/>
    <mergeCell ref="M32:M33"/>
    <mergeCell ref="N32:N33"/>
    <mergeCell ref="O32:O33"/>
    <mergeCell ref="P32:P33"/>
    <mergeCell ref="S32:S33"/>
    <mergeCell ref="T32:T33"/>
    <mergeCell ref="J32:J33"/>
    <mergeCell ref="K32:K33"/>
    <mergeCell ref="L32:L33"/>
    <mergeCell ref="T36:T37"/>
    <mergeCell ref="K36:K37"/>
    <mergeCell ref="L36:L37"/>
    <mergeCell ref="S41:S43"/>
    <mergeCell ref="T41:T43"/>
    <mergeCell ref="U36:U37"/>
    <mergeCell ref="V36:V37"/>
    <mergeCell ref="W36:W37"/>
    <mergeCell ref="H38:H40"/>
    <mergeCell ref="I38:I40"/>
    <mergeCell ref="J38:J40"/>
    <mergeCell ref="K38:K40"/>
    <mergeCell ref="L38:L40"/>
    <mergeCell ref="M36:M37"/>
    <mergeCell ref="N36:N37"/>
    <mergeCell ref="O36:O37"/>
    <mergeCell ref="P36:P37"/>
    <mergeCell ref="Q36:Q37"/>
    <mergeCell ref="R36:R37"/>
    <mergeCell ref="S38:S40"/>
    <mergeCell ref="T38:T40"/>
    <mergeCell ref="U38:U40"/>
    <mergeCell ref="V38:V40"/>
    <mergeCell ref="W38:W40"/>
    <mergeCell ref="J41:J43"/>
    <mergeCell ref="K41:K43"/>
    <mergeCell ref="L41:L43"/>
    <mergeCell ref="M38:M40"/>
    <mergeCell ref="N38:N40"/>
    <mergeCell ref="O38:O40"/>
    <mergeCell ref="P38:P40"/>
    <mergeCell ref="S36:S37"/>
    <mergeCell ref="Q38:Q40"/>
    <mergeCell ref="R38:R40"/>
    <mergeCell ref="J36:J37"/>
    <mergeCell ref="U41:U43"/>
    <mergeCell ref="V41:V43"/>
    <mergeCell ref="W41:W43"/>
    <mergeCell ref="G44:G53"/>
    <mergeCell ref="H44:H46"/>
    <mergeCell ref="I44:I46"/>
    <mergeCell ref="J44:J46"/>
    <mergeCell ref="K44:K46"/>
    <mergeCell ref="M41:M43"/>
    <mergeCell ref="N41:N43"/>
    <mergeCell ref="O41:O43"/>
    <mergeCell ref="P41:P43"/>
    <mergeCell ref="Q41:Q43"/>
    <mergeCell ref="R41:R43"/>
    <mergeCell ref="H47:H51"/>
    <mergeCell ref="I47:I51"/>
    <mergeCell ref="J47:J51"/>
    <mergeCell ref="R44:R46"/>
    <mergeCell ref="S44:S46"/>
    <mergeCell ref="T44:T46"/>
    <mergeCell ref="U44:U46"/>
    <mergeCell ref="V44:V46"/>
    <mergeCell ref="M44:M46"/>
    <mergeCell ref="N44:N46"/>
    <mergeCell ref="W44:W46"/>
    <mergeCell ref="L44:L46"/>
    <mergeCell ref="U54:U59"/>
    <mergeCell ref="V54:V59"/>
    <mergeCell ref="W54:W59"/>
    <mergeCell ref="G57:G59"/>
    <mergeCell ref="O44:O46"/>
    <mergeCell ref="P44:P46"/>
    <mergeCell ref="Q44:Q46"/>
    <mergeCell ref="W47:W51"/>
    <mergeCell ref="H52:H53"/>
    <mergeCell ref="I52:I53"/>
    <mergeCell ref="J52:J53"/>
    <mergeCell ref="K52:K53"/>
    <mergeCell ref="L52:L53"/>
    <mergeCell ref="M52:M53"/>
    <mergeCell ref="N52:N53"/>
    <mergeCell ref="O52:O53"/>
    <mergeCell ref="P52:P53"/>
    <mergeCell ref="Q47:Q51"/>
    <mergeCell ref="R47:R51"/>
    <mergeCell ref="S47:S51"/>
    <mergeCell ref="T47:T51"/>
    <mergeCell ref="U47:U51"/>
    <mergeCell ref="K47:K51"/>
    <mergeCell ref="L47:L51"/>
    <mergeCell ref="M47:M51"/>
    <mergeCell ref="N47:N51"/>
    <mergeCell ref="O47:O51"/>
    <mergeCell ref="T54:T59"/>
    <mergeCell ref="S54:S59"/>
    <mergeCell ref="N54:N59"/>
    <mergeCell ref="O54:O59"/>
    <mergeCell ref="P54:P59"/>
    <mergeCell ref="Q54:Q59"/>
    <mergeCell ref="J54:J59"/>
    <mergeCell ref="K54:K59"/>
    <mergeCell ref="L54:L59"/>
    <mergeCell ref="M54:M59"/>
    <mergeCell ref="Q52:Q53"/>
    <mergeCell ref="R52:R53"/>
    <mergeCell ref="S52:S53"/>
    <mergeCell ref="T52:T53"/>
    <mergeCell ref="U52:U53"/>
    <mergeCell ref="V60:V68"/>
    <mergeCell ref="W60:W68"/>
    <mergeCell ref="L60:L68"/>
    <mergeCell ref="M60:M68"/>
    <mergeCell ref="N60:N68"/>
    <mergeCell ref="O60:O68"/>
    <mergeCell ref="P60:P68"/>
    <mergeCell ref="Q60:Q68"/>
    <mergeCell ref="P47:P51"/>
    <mergeCell ref="W52:W53"/>
    <mergeCell ref="V52:V53"/>
    <mergeCell ref="V47:V51"/>
    <mergeCell ref="R54:R59"/>
    <mergeCell ref="U69:U72"/>
    <mergeCell ref="J69:J72"/>
    <mergeCell ref="K69:K72"/>
    <mergeCell ref="L69:L72"/>
    <mergeCell ref="M69:M72"/>
    <mergeCell ref="N69:N72"/>
    <mergeCell ref="O69:O72"/>
    <mergeCell ref="U73:U76"/>
    <mergeCell ref="R60:R68"/>
    <mergeCell ref="S60:S68"/>
    <mergeCell ref="J60:J68"/>
    <mergeCell ref="K60:K68"/>
    <mergeCell ref="L73:L76"/>
    <mergeCell ref="M73:M76"/>
    <mergeCell ref="N73:N76"/>
    <mergeCell ref="P69:P72"/>
    <mergeCell ref="Q69:Q72"/>
    <mergeCell ref="R69:R72"/>
    <mergeCell ref="S69:S72"/>
    <mergeCell ref="S73:S76"/>
    <mergeCell ref="T69:T72"/>
    <mergeCell ref="T60:T68"/>
    <mergeCell ref="U60:U68"/>
    <mergeCell ref="V73:V76"/>
    <mergeCell ref="W73:W76"/>
    <mergeCell ref="G75:G76"/>
    <mergeCell ref="O73:O76"/>
    <mergeCell ref="P73:P76"/>
    <mergeCell ref="Q73:Q76"/>
    <mergeCell ref="R73:R76"/>
    <mergeCell ref="F77:F80"/>
    <mergeCell ref="H77:H80"/>
    <mergeCell ref="I77:I80"/>
    <mergeCell ref="J77:J80"/>
    <mergeCell ref="K77:K80"/>
    <mergeCell ref="T73:T76"/>
    <mergeCell ref="F69:F76"/>
    <mergeCell ref="G69:G72"/>
    <mergeCell ref="H69:H72"/>
    <mergeCell ref="I69:I72"/>
    <mergeCell ref="V69:V72"/>
    <mergeCell ref="W69:W72"/>
    <mergeCell ref="G73:G74"/>
    <mergeCell ref="H73:H76"/>
    <mergeCell ref="I73:I76"/>
    <mergeCell ref="J73:J76"/>
    <mergeCell ref="K73:K76"/>
    <mergeCell ref="Z78:Z79"/>
    <mergeCell ref="AA78:AA79"/>
    <mergeCell ref="L77:L80"/>
    <mergeCell ref="M77:M80"/>
    <mergeCell ref="N77:N80"/>
    <mergeCell ref="O77:O80"/>
    <mergeCell ref="AB78:AB79"/>
    <mergeCell ref="AC78:AC79"/>
    <mergeCell ref="R77:R80"/>
    <mergeCell ref="S77:S80"/>
    <mergeCell ref="T77:T80"/>
    <mergeCell ref="U77:U80"/>
    <mergeCell ref="V77:V80"/>
    <mergeCell ref="W77:W80"/>
    <mergeCell ref="P77:P80"/>
    <mergeCell ref="Q77:Q80"/>
    <mergeCell ref="Y78:Y79"/>
    <mergeCell ref="M81:M82"/>
    <mergeCell ref="N81:N82"/>
    <mergeCell ref="R81:R82"/>
    <mergeCell ref="S81:S82"/>
    <mergeCell ref="T81:T82"/>
    <mergeCell ref="U81:U82"/>
    <mergeCell ref="V81:V82"/>
    <mergeCell ref="W81:W82"/>
    <mergeCell ref="O81:O82"/>
    <mergeCell ref="P81:P82"/>
    <mergeCell ref="Q81:Q82"/>
    <mergeCell ref="D6:D11"/>
    <mergeCell ref="D12:D37"/>
    <mergeCell ref="D38:D40"/>
    <mergeCell ref="D41:D53"/>
    <mergeCell ref="F81:F82"/>
    <mergeCell ref="H81:H82"/>
    <mergeCell ref="I81:I82"/>
    <mergeCell ref="E6:E53"/>
    <mergeCell ref="H41:H43"/>
    <mergeCell ref="I41:I43"/>
    <mergeCell ref="G63:G66"/>
    <mergeCell ref="H60:H68"/>
    <mergeCell ref="I60:I68"/>
    <mergeCell ref="F54:F68"/>
    <mergeCell ref="G54:G56"/>
    <mergeCell ref="H54:H59"/>
    <mergeCell ref="I54:I59"/>
    <mergeCell ref="F6:F53"/>
    <mergeCell ref="I6:I17"/>
    <mergeCell ref="H36:H37"/>
    <mergeCell ref="I36:I37"/>
    <mergeCell ref="H34:H35"/>
    <mergeCell ref="I34:I35"/>
    <mergeCell ref="G6:G11"/>
    <mergeCell ref="AC61:AC62"/>
    <mergeCell ref="AB61:AB62"/>
    <mergeCell ref="AA61:AA62"/>
    <mergeCell ref="Z61:Z62"/>
    <mergeCell ref="Y61:Y62"/>
    <mergeCell ref="X61:X62"/>
    <mergeCell ref="AC63:AC64"/>
    <mergeCell ref="AB63:AB64"/>
    <mergeCell ref="AB65:AB66"/>
    <mergeCell ref="AC65:AC66"/>
    <mergeCell ref="X65:X66"/>
    <mergeCell ref="AC67:AC68"/>
    <mergeCell ref="AB67:AB68"/>
    <mergeCell ref="AA67:AA68"/>
    <mergeCell ref="AA65:AA66"/>
    <mergeCell ref="AA63:AA64"/>
    <mergeCell ref="Z67:Z68"/>
    <mergeCell ref="Z65:Z66"/>
    <mergeCell ref="Z63:Z64"/>
    <mergeCell ref="Y67:Y68"/>
    <mergeCell ref="Y65:Y66"/>
    <mergeCell ref="Y63:Y64"/>
    <mergeCell ref="C77:C80"/>
    <mergeCell ref="C69:C76"/>
    <mergeCell ref="C54:C68"/>
    <mergeCell ref="B54:B80"/>
    <mergeCell ref="A54:A80"/>
    <mergeCell ref="C81:C82"/>
    <mergeCell ref="B81:B83"/>
    <mergeCell ref="A81:A83"/>
    <mergeCell ref="X63:X64"/>
    <mergeCell ref="G60:G62"/>
    <mergeCell ref="G67:G68"/>
    <mergeCell ref="E54:E80"/>
    <mergeCell ref="E81:E83"/>
    <mergeCell ref="D81:D83"/>
    <mergeCell ref="D61:D63"/>
    <mergeCell ref="D69:D72"/>
    <mergeCell ref="D73:D76"/>
    <mergeCell ref="D77:D80"/>
    <mergeCell ref="X67:X68"/>
    <mergeCell ref="D54:D59"/>
    <mergeCell ref="J81:J82"/>
    <mergeCell ref="K81:K82"/>
    <mergeCell ref="L81:L82"/>
    <mergeCell ref="X78:X7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4"/>
  <sheetViews>
    <sheetView topLeftCell="V58" zoomScale="85" zoomScaleNormal="85" workbookViewId="0">
      <selection activeCell="X63" sqref="X63"/>
    </sheetView>
  </sheetViews>
  <sheetFormatPr baseColWidth="10" defaultRowHeight="11.25" x14ac:dyDescent="0.25"/>
  <cols>
    <col min="1" max="1" width="11.42578125" style="21"/>
    <col min="2" max="2" width="22.140625" style="21" customWidth="1"/>
    <col min="3" max="3" width="20.7109375" style="21" customWidth="1"/>
    <col min="4" max="4" width="21" style="21" customWidth="1"/>
    <col min="5" max="5" width="16.140625" style="16" customWidth="1"/>
    <col min="6" max="6" width="23.7109375" style="17" customWidth="1"/>
    <col min="7" max="7" width="23.7109375" style="18" customWidth="1"/>
    <col min="8" max="8" width="15.85546875" style="18" customWidth="1"/>
    <col min="9" max="9" width="5.140625" style="18" customWidth="1"/>
    <col min="10" max="13" width="5.140625" style="19" customWidth="1"/>
    <col min="14" max="14" width="8.5703125" style="16" customWidth="1"/>
    <col min="15" max="15" width="28.140625" style="20" customWidth="1"/>
    <col min="16" max="19" width="8.5703125" style="18" customWidth="1"/>
    <col min="20" max="20" width="61" style="19" customWidth="1"/>
    <col min="21" max="21" width="61" style="23" customWidth="1"/>
    <col min="22" max="22" width="61.140625" style="23" customWidth="1"/>
    <col min="23" max="23" width="61" style="19" customWidth="1"/>
    <col min="24" max="24" width="72.5703125" style="21" customWidth="1"/>
    <col min="25" max="25" width="50.42578125" style="21" customWidth="1"/>
    <col min="26" max="26" width="14.28515625" style="21" customWidth="1"/>
    <col min="27" max="29" width="9.7109375" style="53" customWidth="1"/>
    <col min="30" max="30" width="16.140625" style="53" customWidth="1"/>
    <col min="31" max="16384" width="11.42578125" style="21"/>
  </cols>
  <sheetData>
    <row r="1" spans="1:30" s="1" customFormat="1" ht="51.75" customHeight="1" x14ac:dyDescent="0.25">
      <c r="A1" s="289" t="s">
        <v>109</v>
      </c>
      <c r="B1" s="289"/>
      <c r="C1" s="289"/>
      <c r="D1" s="289"/>
      <c r="E1" s="312" t="s">
        <v>109</v>
      </c>
      <c r="F1" s="312"/>
      <c r="G1" s="312"/>
      <c r="H1" s="312"/>
      <c r="I1" s="312"/>
      <c r="J1" s="312"/>
      <c r="K1" s="312"/>
      <c r="L1" s="312"/>
      <c r="M1" s="312"/>
      <c r="N1" s="312"/>
      <c r="O1" s="312"/>
      <c r="P1" s="312"/>
      <c r="Q1" s="312"/>
      <c r="R1" s="312"/>
      <c r="S1" s="312"/>
      <c r="T1" s="312"/>
      <c r="U1" s="312"/>
      <c r="V1" s="312"/>
      <c r="W1" s="312"/>
      <c r="X1" s="312"/>
      <c r="Y1" s="312"/>
      <c r="Z1" s="312"/>
      <c r="AA1" s="312"/>
      <c r="AB1" s="312"/>
      <c r="AC1" s="312"/>
      <c r="AD1" s="52"/>
    </row>
    <row r="2" spans="1:30" s="1" customFormat="1" ht="51.75" customHeight="1" x14ac:dyDescent="0.25">
      <c r="A2" s="289"/>
      <c r="B2" s="289"/>
      <c r="C2" s="289"/>
      <c r="D2" s="289"/>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52"/>
    </row>
    <row r="3" spans="1:30" s="1" customFormat="1" ht="45" customHeight="1" x14ac:dyDescent="0.25">
      <c r="A3" s="288" t="s">
        <v>649</v>
      </c>
      <c r="B3" s="288"/>
      <c r="C3" s="288"/>
      <c r="D3" s="89"/>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52"/>
    </row>
    <row r="4" spans="1:30" s="59" customFormat="1" ht="21" customHeight="1" x14ac:dyDescent="0.25">
      <c r="A4" s="290" t="s">
        <v>94</v>
      </c>
      <c r="B4" s="290"/>
      <c r="C4" s="290"/>
      <c r="D4" s="290"/>
      <c r="E4" s="290"/>
      <c r="F4" s="290"/>
      <c r="G4" s="290"/>
      <c r="H4" s="302" t="s">
        <v>92</v>
      </c>
      <c r="I4" s="302"/>
      <c r="J4" s="302"/>
      <c r="K4" s="302"/>
      <c r="L4" s="302"/>
      <c r="M4" s="302"/>
      <c r="N4" s="302"/>
      <c r="O4" s="302"/>
      <c r="P4" s="309" t="s">
        <v>110</v>
      </c>
      <c r="Q4" s="309"/>
      <c r="R4" s="309"/>
      <c r="S4" s="309"/>
      <c r="T4" s="309" t="s">
        <v>111</v>
      </c>
      <c r="U4" s="309"/>
      <c r="V4" s="309"/>
      <c r="W4" s="309"/>
      <c r="X4" s="304" t="s">
        <v>91</v>
      </c>
      <c r="Y4" s="304"/>
      <c r="Z4" s="304"/>
      <c r="AA4" s="304" t="s">
        <v>112</v>
      </c>
      <c r="AB4" s="304"/>
      <c r="AC4" s="304"/>
      <c r="AD4" s="304"/>
    </row>
    <row r="5" spans="1:30" s="87" customFormat="1" ht="27" x14ac:dyDescent="0.25">
      <c r="A5" s="27" t="s">
        <v>624</v>
      </c>
      <c r="B5" s="27" t="s">
        <v>625</v>
      </c>
      <c r="C5" s="27" t="s">
        <v>626</v>
      </c>
      <c r="D5" s="27" t="s">
        <v>627</v>
      </c>
      <c r="E5" s="26" t="s">
        <v>95</v>
      </c>
      <c r="F5" s="27" t="s">
        <v>104</v>
      </c>
      <c r="G5" s="27" t="s">
        <v>103</v>
      </c>
      <c r="H5" s="28" t="s">
        <v>102</v>
      </c>
      <c r="I5" s="28" t="s">
        <v>101</v>
      </c>
      <c r="J5" s="29" t="s">
        <v>105</v>
      </c>
      <c r="K5" s="29" t="s">
        <v>106</v>
      </c>
      <c r="L5" s="29" t="s">
        <v>107</v>
      </c>
      <c r="M5" s="29" t="s">
        <v>108</v>
      </c>
      <c r="N5" s="29" t="s">
        <v>96</v>
      </c>
      <c r="O5" s="30" t="s">
        <v>280</v>
      </c>
      <c r="P5" s="31" t="s">
        <v>88</v>
      </c>
      <c r="Q5" s="31" t="s">
        <v>100</v>
      </c>
      <c r="R5" s="31" t="s">
        <v>89</v>
      </c>
      <c r="S5" s="31" t="s">
        <v>90</v>
      </c>
      <c r="T5" s="32" t="s">
        <v>88</v>
      </c>
      <c r="U5" s="32" t="s">
        <v>100</v>
      </c>
      <c r="V5" s="32" t="s">
        <v>89</v>
      </c>
      <c r="W5" s="32" t="s">
        <v>90</v>
      </c>
      <c r="X5" s="33" t="s">
        <v>97</v>
      </c>
      <c r="Y5" s="33" t="s">
        <v>98</v>
      </c>
      <c r="Z5" s="34" t="s">
        <v>99</v>
      </c>
      <c r="AA5" s="35" t="s">
        <v>88</v>
      </c>
      <c r="AB5" s="35" t="s">
        <v>100</v>
      </c>
      <c r="AC5" s="35" t="s">
        <v>89</v>
      </c>
      <c r="AD5" s="35" t="s">
        <v>622</v>
      </c>
    </row>
    <row r="6" spans="1:30" s="3" customFormat="1" ht="96.75" customHeight="1" x14ac:dyDescent="0.25">
      <c r="A6" s="294" t="s">
        <v>628</v>
      </c>
      <c r="B6" s="323" t="s">
        <v>629</v>
      </c>
      <c r="C6" s="324" t="s">
        <v>630</v>
      </c>
      <c r="D6" s="324" t="s">
        <v>623</v>
      </c>
      <c r="E6" s="317" t="s">
        <v>30</v>
      </c>
      <c r="F6" s="294" t="s">
        <v>0</v>
      </c>
      <c r="G6" s="294" t="s">
        <v>1</v>
      </c>
      <c r="H6" s="300" t="s">
        <v>93</v>
      </c>
      <c r="I6" s="295">
        <v>0</v>
      </c>
      <c r="J6" s="295">
        <v>0.25</v>
      </c>
      <c r="K6" s="295">
        <v>0.25</v>
      </c>
      <c r="L6" s="295">
        <v>0.25</v>
      </c>
      <c r="M6" s="295">
        <v>0.25</v>
      </c>
      <c r="N6" s="296">
        <v>1</v>
      </c>
      <c r="O6" s="300" t="s">
        <v>32</v>
      </c>
      <c r="P6" s="296">
        <f>31%*25%</f>
        <v>7.7499999999999999E-2</v>
      </c>
      <c r="Q6" s="296">
        <f>0.25*46%</f>
        <v>0.115</v>
      </c>
      <c r="R6" s="296">
        <f>0.25*67%</f>
        <v>0.16750000000000001</v>
      </c>
      <c r="S6" s="296">
        <f>0.25*97%</f>
        <v>0.24249999999999999</v>
      </c>
      <c r="T6" s="297" t="s">
        <v>290</v>
      </c>
      <c r="U6" s="303" t="s">
        <v>298</v>
      </c>
      <c r="V6" s="303" t="s">
        <v>587</v>
      </c>
      <c r="W6" s="303" t="s">
        <v>604</v>
      </c>
      <c r="X6" s="4" t="s">
        <v>113</v>
      </c>
      <c r="Y6" s="2" t="s">
        <v>56</v>
      </c>
      <c r="Z6" s="2" t="s">
        <v>59</v>
      </c>
      <c r="AA6" s="60">
        <v>0.25</v>
      </c>
      <c r="AB6" s="60">
        <v>0.45</v>
      </c>
      <c r="AC6" s="60">
        <v>0.81</v>
      </c>
      <c r="AD6" s="60">
        <v>1</v>
      </c>
    </row>
    <row r="7" spans="1:30" s="3" customFormat="1" ht="32.25" customHeight="1" x14ac:dyDescent="0.25">
      <c r="A7" s="294"/>
      <c r="B7" s="323"/>
      <c r="C7" s="324"/>
      <c r="D7" s="324"/>
      <c r="E7" s="317"/>
      <c r="F7" s="294"/>
      <c r="G7" s="294"/>
      <c r="H7" s="300"/>
      <c r="I7" s="295"/>
      <c r="J7" s="295"/>
      <c r="K7" s="295"/>
      <c r="L7" s="295"/>
      <c r="M7" s="295"/>
      <c r="N7" s="296"/>
      <c r="O7" s="300"/>
      <c r="P7" s="296"/>
      <c r="Q7" s="296"/>
      <c r="R7" s="296"/>
      <c r="S7" s="296"/>
      <c r="T7" s="297"/>
      <c r="U7" s="303"/>
      <c r="V7" s="303"/>
      <c r="W7" s="303"/>
      <c r="X7" s="74" t="s">
        <v>114</v>
      </c>
      <c r="Y7" s="2" t="s">
        <v>127</v>
      </c>
      <c r="Z7" s="2" t="s">
        <v>60</v>
      </c>
      <c r="AA7" s="60">
        <v>0</v>
      </c>
      <c r="AB7" s="60">
        <v>0.18</v>
      </c>
      <c r="AC7" s="60">
        <v>0.48</v>
      </c>
      <c r="AD7" s="60">
        <v>1</v>
      </c>
    </row>
    <row r="8" spans="1:30" s="3" customFormat="1" ht="32.25" customHeight="1" x14ac:dyDescent="0.25">
      <c r="A8" s="294"/>
      <c r="B8" s="323"/>
      <c r="C8" s="324"/>
      <c r="D8" s="324"/>
      <c r="E8" s="317"/>
      <c r="F8" s="294"/>
      <c r="G8" s="294"/>
      <c r="H8" s="300"/>
      <c r="I8" s="295"/>
      <c r="J8" s="295"/>
      <c r="K8" s="295"/>
      <c r="L8" s="295"/>
      <c r="M8" s="295"/>
      <c r="N8" s="296"/>
      <c r="O8" s="300"/>
      <c r="P8" s="296"/>
      <c r="Q8" s="296"/>
      <c r="R8" s="296"/>
      <c r="S8" s="296"/>
      <c r="T8" s="297"/>
      <c r="U8" s="303"/>
      <c r="V8" s="303"/>
      <c r="W8" s="303"/>
      <c r="X8" s="4" t="s">
        <v>115</v>
      </c>
      <c r="Y8" s="2" t="s">
        <v>57</v>
      </c>
      <c r="Z8" s="2" t="s">
        <v>60</v>
      </c>
      <c r="AA8" s="60">
        <v>0.19</v>
      </c>
      <c r="AB8" s="60">
        <v>0.37</v>
      </c>
      <c r="AC8" s="60">
        <v>0.59</v>
      </c>
      <c r="AD8" s="60">
        <v>1</v>
      </c>
    </row>
    <row r="9" spans="1:30" s="3" customFormat="1" ht="32.25" customHeight="1" x14ac:dyDescent="0.25">
      <c r="A9" s="294"/>
      <c r="B9" s="323"/>
      <c r="C9" s="324"/>
      <c r="D9" s="324"/>
      <c r="E9" s="317"/>
      <c r="F9" s="294"/>
      <c r="G9" s="294"/>
      <c r="H9" s="300"/>
      <c r="I9" s="295"/>
      <c r="J9" s="295"/>
      <c r="K9" s="295"/>
      <c r="L9" s="295"/>
      <c r="M9" s="295"/>
      <c r="N9" s="296"/>
      <c r="O9" s="300"/>
      <c r="P9" s="296"/>
      <c r="Q9" s="296"/>
      <c r="R9" s="296"/>
      <c r="S9" s="296"/>
      <c r="T9" s="297"/>
      <c r="U9" s="303"/>
      <c r="V9" s="303"/>
      <c r="W9" s="303"/>
      <c r="X9" s="13" t="s">
        <v>116</v>
      </c>
      <c r="Y9" s="2" t="s">
        <v>128</v>
      </c>
      <c r="Z9" s="2" t="s">
        <v>60</v>
      </c>
      <c r="AA9" s="60">
        <v>0.1</v>
      </c>
      <c r="AB9" s="60">
        <v>0.23</v>
      </c>
      <c r="AC9" s="60">
        <v>0.35</v>
      </c>
      <c r="AD9" s="60">
        <v>1</v>
      </c>
    </row>
    <row r="10" spans="1:30" s="3" customFormat="1" ht="32.25" customHeight="1" x14ac:dyDescent="0.25">
      <c r="A10" s="294"/>
      <c r="B10" s="323"/>
      <c r="C10" s="324"/>
      <c r="D10" s="324"/>
      <c r="E10" s="317"/>
      <c r="F10" s="294"/>
      <c r="G10" s="294"/>
      <c r="H10" s="300"/>
      <c r="I10" s="295"/>
      <c r="J10" s="295"/>
      <c r="K10" s="295"/>
      <c r="L10" s="295"/>
      <c r="M10" s="295"/>
      <c r="N10" s="296"/>
      <c r="O10" s="300"/>
      <c r="P10" s="296"/>
      <c r="Q10" s="296"/>
      <c r="R10" s="296"/>
      <c r="S10" s="296"/>
      <c r="T10" s="297"/>
      <c r="U10" s="303"/>
      <c r="V10" s="303"/>
      <c r="W10" s="303"/>
      <c r="X10" s="4" t="s">
        <v>117</v>
      </c>
      <c r="Y10" s="4" t="s">
        <v>58</v>
      </c>
      <c r="Z10" s="2" t="s">
        <v>61</v>
      </c>
      <c r="AA10" s="60">
        <v>0.86</v>
      </c>
      <c r="AB10" s="60">
        <v>1</v>
      </c>
      <c r="AC10" s="60">
        <v>1</v>
      </c>
      <c r="AD10" s="60">
        <v>1</v>
      </c>
    </row>
    <row r="11" spans="1:30" s="3" customFormat="1" ht="32.25" customHeight="1" x14ac:dyDescent="0.25">
      <c r="A11" s="294"/>
      <c r="B11" s="323"/>
      <c r="C11" s="324"/>
      <c r="D11" s="324"/>
      <c r="E11" s="317"/>
      <c r="F11" s="294"/>
      <c r="G11" s="294"/>
      <c r="H11" s="300"/>
      <c r="I11" s="295"/>
      <c r="J11" s="295"/>
      <c r="K11" s="295"/>
      <c r="L11" s="295"/>
      <c r="M11" s="295"/>
      <c r="N11" s="296"/>
      <c r="O11" s="300"/>
      <c r="P11" s="296"/>
      <c r="Q11" s="296"/>
      <c r="R11" s="296"/>
      <c r="S11" s="296"/>
      <c r="T11" s="297"/>
      <c r="U11" s="303"/>
      <c r="V11" s="303"/>
      <c r="W11" s="303"/>
      <c r="X11" s="5" t="s">
        <v>118</v>
      </c>
      <c r="Y11" s="2" t="s">
        <v>129</v>
      </c>
      <c r="Z11" s="2" t="s">
        <v>69</v>
      </c>
      <c r="AA11" s="60">
        <v>0.09</v>
      </c>
      <c r="AB11" s="60">
        <v>0.14000000000000001</v>
      </c>
      <c r="AC11" s="60">
        <v>0.79</v>
      </c>
      <c r="AD11" s="60">
        <v>1</v>
      </c>
    </row>
    <row r="12" spans="1:30" s="3" customFormat="1" ht="32.25" customHeight="1" x14ac:dyDescent="0.25">
      <c r="A12" s="294"/>
      <c r="B12" s="323"/>
      <c r="C12" s="325" t="s">
        <v>631</v>
      </c>
      <c r="D12" s="325" t="s">
        <v>632</v>
      </c>
      <c r="E12" s="317"/>
      <c r="F12" s="294"/>
      <c r="G12" s="313" t="s">
        <v>2</v>
      </c>
      <c r="H12" s="300"/>
      <c r="I12" s="295"/>
      <c r="J12" s="295"/>
      <c r="K12" s="295"/>
      <c r="L12" s="295"/>
      <c r="M12" s="295"/>
      <c r="N12" s="296"/>
      <c r="O12" s="300"/>
      <c r="P12" s="296"/>
      <c r="Q12" s="296"/>
      <c r="R12" s="296"/>
      <c r="S12" s="296"/>
      <c r="T12" s="297"/>
      <c r="U12" s="303"/>
      <c r="V12" s="303"/>
      <c r="W12" s="303"/>
      <c r="X12" s="6" t="s">
        <v>119</v>
      </c>
      <c r="Y12" s="2" t="s">
        <v>130</v>
      </c>
      <c r="Z12" s="2" t="s">
        <v>249</v>
      </c>
      <c r="AA12" s="60">
        <v>0.05</v>
      </c>
      <c r="AB12" s="60">
        <v>0.19</v>
      </c>
      <c r="AC12" s="60">
        <v>0.74</v>
      </c>
      <c r="AD12" s="60">
        <v>1</v>
      </c>
    </row>
    <row r="13" spans="1:30" s="3" customFormat="1" ht="32.25" customHeight="1" x14ac:dyDescent="0.2">
      <c r="A13" s="294"/>
      <c r="B13" s="323"/>
      <c r="C13" s="326"/>
      <c r="D13" s="326"/>
      <c r="E13" s="317"/>
      <c r="F13" s="294"/>
      <c r="G13" s="313"/>
      <c r="H13" s="300"/>
      <c r="I13" s="295"/>
      <c r="J13" s="295"/>
      <c r="K13" s="295"/>
      <c r="L13" s="295"/>
      <c r="M13" s="295"/>
      <c r="N13" s="296"/>
      <c r="O13" s="300"/>
      <c r="P13" s="296"/>
      <c r="Q13" s="296"/>
      <c r="R13" s="296"/>
      <c r="S13" s="296"/>
      <c r="T13" s="297"/>
      <c r="U13" s="303"/>
      <c r="V13" s="303"/>
      <c r="W13" s="303"/>
      <c r="X13" s="7" t="s">
        <v>120</v>
      </c>
      <c r="Y13" s="2" t="s">
        <v>131</v>
      </c>
      <c r="Z13" s="2" t="s">
        <v>62</v>
      </c>
      <c r="AA13" s="60">
        <v>0.04</v>
      </c>
      <c r="AB13" s="60">
        <v>0.26</v>
      </c>
      <c r="AC13" s="60">
        <v>0.43</v>
      </c>
      <c r="AD13" s="60">
        <v>1</v>
      </c>
    </row>
    <row r="14" spans="1:30" s="3" customFormat="1" ht="32.25" customHeight="1" x14ac:dyDescent="0.25">
      <c r="A14" s="294"/>
      <c r="B14" s="323"/>
      <c r="C14" s="326"/>
      <c r="D14" s="326"/>
      <c r="E14" s="317"/>
      <c r="F14" s="294"/>
      <c r="G14" s="313"/>
      <c r="H14" s="300"/>
      <c r="I14" s="295"/>
      <c r="J14" s="295"/>
      <c r="K14" s="295"/>
      <c r="L14" s="295"/>
      <c r="M14" s="295"/>
      <c r="N14" s="296"/>
      <c r="O14" s="300"/>
      <c r="P14" s="296"/>
      <c r="Q14" s="296"/>
      <c r="R14" s="296"/>
      <c r="S14" s="296"/>
      <c r="T14" s="297"/>
      <c r="U14" s="303"/>
      <c r="V14" s="303"/>
      <c r="W14" s="303"/>
      <c r="X14" s="6" t="s">
        <v>121</v>
      </c>
      <c r="Y14" s="2" t="s">
        <v>132</v>
      </c>
      <c r="Z14" s="2" t="s">
        <v>62</v>
      </c>
      <c r="AA14" s="60">
        <v>0.06</v>
      </c>
      <c r="AB14" s="60">
        <v>0.33</v>
      </c>
      <c r="AC14" s="60">
        <v>0.57999999999999996</v>
      </c>
      <c r="AD14" s="60">
        <v>1</v>
      </c>
    </row>
    <row r="15" spans="1:30" s="3" customFormat="1" ht="32.25" customHeight="1" x14ac:dyDescent="0.25">
      <c r="A15" s="294"/>
      <c r="B15" s="323"/>
      <c r="C15" s="326"/>
      <c r="D15" s="326"/>
      <c r="E15" s="317"/>
      <c r="F15" s="294"/>
      <c r="G15" s="313"/>
      <c r="H15" s="300"/>
      <c r="I15" s="295"/>
      <c r="J15" s="295"/>
      <c r="K15" s="295"/>
      <c r="L15" s="295"/>
      <c r="M15" s="295"/>
      <c r="N15" s="296"/>
      <c r="O15" s="300"/>
      <c r="P15" s="296"/>
      <c r="Q15" s="296"/>
      <c r="R15" s="296"/>
      <c r="S15" s="296"/>
      <c r="T15" s="297"/>
      <c r="U15" s="303"/>
      <c r="V15" s="303"/>
      <c r="W15" s="303"/>
      <c r="X15" s="6" t="s">
        <v>122</v>
      </c>
      <c r="Y15" s="2" t="s">
        <v>133</v>
      </c>
      <c r="Z15" s="2" t="s">
        <v>62</v>
      </c>
      <c r="AA15" s="60">
        <v>0.04</v>
      </c>
      <c r="AB15" s="60">
        <v>0.35</v>
      </c>
      <c r="AC15" s="60">
        <v>0.89</v>
      </c>
      <c r="AD15" s="60">
        <v>1</v>
      </c>
    </row>
    <row r="16" spans="1:30" s="3" customFormat="1" ht="32.25" customHeight="1" x14ac:dyDescent="0.25">
      <c r="A16" s="294"/>
      <c r="B16" s="323"/>
      <c r="C16" s="326"/>
      <c r="D16" s="326"/>
      <c r="E16" s="317"/>
      <c r="F16" s="294"/>
      <c r="G16" s="313"/>
      <c r="H16" s="300"/>
      <c r="I16" s="295"/>
      <c r="J16" s="295"/>
      <c r="K16" s="295"/>
      <c r="L16" s="295"/>
      <c r="M16" s="295"/>
      <c r="N16" s="296"/>
      <c r="O16" s="300"/>
      <c r="P16" s="296"/>
      <c r="Q16" s="296"/>
      <c r="R16" s="296"/>
      <c r="S16" s="296"/>
      <c r="T16" s="297"/>
      <c r="U16" s="303"/>
      <c r="V16" s="303"/>
      <c r="W16" s="303"/>
      <c r="X16" s="6" t="s">
        <v>123</v>
      </c>
      <c r="Y16" s="2" t="s">
        <v>134</v>
      </c>
      <c r="Z16" s="2" t="s">
        <v>62</v>
      </c>
      <c r="AA16" s="60">
        <v>0.11</v>
      </c>
      <c r="AB16" s="60">
        <v>0.66</v>
      </c>
      <c r="AC16" s="60">
        <v>0.66</v>
      </c>
      <c r="AD16" s="60">
        <v>1</v>
      </c>
    </row>
    <row r="17" spans="1:30" s="3" customFormat="1" ht="32.25" customHeight="1" x14ac:dyDescent="0.25">
      <c r="A17" s="294"/>
      <c r="B17" s="323"/>
      <c r="C17" s="326"/>
      <c r="D17" s="326"/>
      <c r="E17" s="317"/>
      <c r="F17" s="294"/>
      <c r="G17" s="313"/>
      <c r="H17" s="300"/>
      <c r="I17" s="295"/>
      <c r="J17" s="295"/>
      <c r="K17" s="295"/>
      <c r="L17" s="295"/>
      <c r="M17" s="295"/>
      <c r="N17" s="296"/>
      <c r="O17" s="300"/>
      <c r="P17" s="296"/>
      <c r="Q17" s="296"/>
      <c r="R17" s="296"/>
      <c r="S17" s="296"/>
      <c r="T17" s="297"/>
      <c r="U17" s="303"/>
      <c r="V17" s="303"/>
      <c r="W17" s="303"/>
      <c r="X17" s="6" t="s">
        <v>124</v>
      </c>
      <c r="Y17" s="2" t="s">
        <v>135</v>
      </c>
      <c r="Z17" s="2" t="s">
        <v>248</v>
      </c>
      <c r="AA17" s="60">
        <v>0.28999999999999998</v>
      </c>
      <c r="AB17" s="60">
        <v>0.28999999999999998</v>
      </c>
      <c r="AC17" s="60">
        <v>0.48</v>
      </c>
      <c r="AD17" s="60">
        <v>1</v>
      </c>
    </row>
    <row r="18" spans="1:30" s="3" customFormat="1" ht="32.25" customHeight="1" x14ac:dyDescent="0.25">
      <c r="A18" s="294"/>
      <c r="B18" s="323"/>
      <c r="C18" s="326"/>
      <c r="D18" s="326"/>
      <c r="E18" s="317"/>
      <c r="F18" s="294"/>
      <c r="G18" s="313"/>
      <c r="H18" s="300"/>
      <c r="I18" s="295"/>
      <c r="J18" s="295"/>
      <c r="K18" s="295"/>
      <c r="L18" s="295"/>
      <c r="M18" s="295"/>
      <c r="N18" s="296"/>
      <c r="O18" s="300"/>
      <c r="P18" s="296"/>
      <c r="Q18" s="296"/>
      <c r="R18" s="296"/>
      <c r="S18" s="296"/>
      <c r="T18" s="297"/>
      <c r="U18" s="303"/>
      <c r="V18" s="303"/>
      <c r="W18" s="303"/>
      <c r="X18" s="8" t="s">
        <v>125</v>
      </c>
      <c r="Y18" s="2" t="s">
        <v>136</v>
      </c>
      <c r="Z18" s="2" t="s">
        <v>69</v>
      </c>
      <c r="AA18" s="60">
        <v>0.12</v>
      </c>
      <c r="AB18" s="60">
        <v>0.12</v>
      </c>
      <c r="AC18" s="60">
        <v>0.12</v>
      </c>
      <c r="AD18" s="60">
        <v>0.12</v>
      </c>
    </row>
    <row r="19" spans="1:30" s="3" customFormat="1" ht="32.25" customHeight="1" x14ac:dyDescent="0.25">
      <c r="A19" s="294"/>
      <c r="B19" s="323"/>
      <c r="C19" s="326"/>
      <c r="D19" s="326"/>
      <c r="E19" s="317"/>
      <c r="F19" s="294"/>
      <c r="G19" s="313"/>
      <c r="H19" s="300"/>
      <c r="I19" s="295"/>
      <c r="J19" s="295"/>
      <c r="K19" s="295"/>
      <c r="L19" s="295"/>
      <c r="M19" s="295"/>
      <c r="N19" s="296"/>
      <c r="O19" s="300"/>
      <c r="P19" s="296"/>
      <c r="Q19" s="296"/>
      <c r="R19" s="296"/>
      <c r="S19" s="296"/>
      <c r="T19" s="297"/>
      <c r="U19" s="303"/>
      <c r="V19" s="303"/>
      <c r="W19" s="303"/>
      <c r="X19" s="6" t="s">
        <v>126</v>
      </c>
      <c r="Y19" s="2" t="s">
        <v>137</v>
      </c>
      <c r="Z19" s="2" t="s">
        <v>69</v>
      </c>
      <c r="AA19" s="60">
        <v>0.28999999999999998</v>
      </c>
      <c r="AB19" s="60">
        <v>0.28999999999999998</v>
      </c>
      <c r="AC19" s="60">
        <v>0.28999999999999998</v>
      </c>
      <c r="AD19" s="60">
        <v>0.28999999999999998</v>
      </c>
    </row>
    <row r="20" spans="1:30" s="3" customFormat="1" ht="95.25" customHeight="1" x14ac:dyDescent="0.25">
      <c r="A20" s="294"/>
      <c r="B20" s="323"/>
      <c r="C20" s="326"/>
      <c r="D20" s="326"/>
      <c r="E20" s="317"/>
      <c r="F20" s="294"/>
      <c r="G20" s="294" t="s">
        <v>3</v>
      </c>
      <c r="H20" s="301" t="s">
        <v>87</v>
      </c>
      <c r="I20" s="301">
        <v>0</v>
      </c>
      <c r="J20" s="297">
        <v>0.25</v>
      </c>
      <c r="K20" s="297">
        <v>0.25</v>
      </c>
      <c r="L20" s="297">
        <v>0.25</v>
      </c>
      <c r="M20" s="297">
        <v>0.25</v>
      </c>
      <c r="N20" s="298">
        <v>1</v>
      </c>
      <c r="O20" s="301" t="s">
        <v>33</v>
      </c>
      <c r="P20" s="298">
        <f>0.25*33%</f>
        <v>8.2500000000000004E-2</v>
      </c>
      <c r="Q20" s="298">
        <f>0.25*56%</f>
        <v>0.14000000000000001</v>
      </c>
      <c r="R20" s="298">
        <f>0.25*67%</f>
        <v>0.16750000000000001</v>
      </c>
      <c r="S20" s="298">
        <f>0.25*90%</f>
        <v>0.22500000000000001</v>
      </c>
      <c r="T20" s="297" t="s">
        <v>288</v>
      </c>
      <c r="U20" s="303" t="s">
        <v>289</v>
      </c>
      <c r="V20" s="303" t="s">
        <v>588</v>
      </c>
      <c r="W20" s="297" t="s">
        <v>620</v>
      </c>
      <c r="X20" s="4" t="s">
        <v>138</v>
      </c>
      <c r="Y20" s="2" t="s">
        <v>141</v>
      </c>
      <c r="Z20" s="2" t="s">
        <v>63</v>
      </c>
      <c r="AA20" s="60">
        <v>0.36</v>
      </c>
      <c r="AB20" s="60">
        <v>0.63</v>
      </c>
      <c r="AC20" s="60">
        <v>0.66</v>
      </c>
      <c r="AD20" s="60">
        <v>0.82</v>
      </c>
    </row>
    <row r="21" spans="1:30" s="3" customFormat="1" ht="94.5" customHeight="1" x14ac:dyDescent="0.25">
      <c r="A21" s="294"/>
      <c r="B21" s="323"/>
      <c r="C21" s="326"/>
      <c r="D21" s="326"/>
      <c r="E21" s="317"/>
      <c r="F21" s="294"/>
      <c r="G21" s="294"/>
      <c r="H21" s="301"/>
      <c r="I21" s="301"/>
      <c r="J21" s="297"/>
      <c r="K21" s="297"/>
      <c r="L21" s="297"/>
      <c r="M21" s="297"/>
      <c r="N21" s="298"/>
      <c r="O21" s="301"/>
      <c r="P21" s="298"/>
      <c r="Q21" s="298"/>
      <c r="R21" s="298"/>
      <c r="S21" s="298"/>
      <c r="T21" s="297"/>
      <c r="U21" s="303"/>
      <c r="V21" s="303"/>
      <c r="W21" s="297"/>
      <c r="X21" s="4" t="s">
        <v>139</v>
      </c>
      <c r="Y21" s="75" t="s">
        <v>142</v>
      </c>
      <c r="Z21" s="2" t="s">
        <v>63</v>
      </c>
      <c r="AA21" s="60">
        <v>0.4</v>
      </c>
      <c r="AB21" s="60">
        <v>0.57999999999999996</v>
      </c>
      <c r="AC21" s="60">
        <v>0.62</v>
      </c>
      <c r="AD21" s="60">
        <v>0.86</v>
      </c>
    </row>
    <row r="22" spans="1:30" s="3" customFormat="1" ht="89.25" customHeight="1" x14ac:dyDescent="0.25">
      <c r="A22" s="294"/>
      <c r="B22" s="323"/>
      <c r="C22" s="326"/>
      <c r="D22" s="326"/>
      <c r="E22" s="317"/>
      <c r="F22" s="294"/>
      <c r="G22" s="294"/>
      <c r="H22" s="301"/>
      <c r="I22" s="301"/>
      <c r="J22" s="297"/>
      <c r="K22" s="297"/>
      <c r="L22" s="297"/>
      <c r="M22" s="297"/>
      <c r="N22" s="298"/>
      <c r="O22" s="301"/>
      <c r="P22" s="298"/>
      <c r="Q22" s="298"/>
      <c r="R22" s="298"/>
      <c r="S22" s="298"/>
      <c r="T22" s="297"/>
      <c r="U22" s="303"/>
      <c r="V22" s="303"/>
      <c r="W22" s="297"/>
      <c r="X22" s="5" t="s">
        <v>140</v>
      </c>
      <c r="Y22" s="9" t="s">
        <v>143</v>
      </c>
      <c r="Z22" s="2" t="s">
        <v>63</v>
      </c>
      <c r="AA22" s="60">
        <v>0.04</v>
      </c>
      <c r="AB22" s="60">
        <v>0.35</v>
      </c>
      <c r="AC22" s="60">
        <v>0.97</v>
      </c>
      <c r="AD22" s="60">
        <v>1</v>
      </c>
    </row>
    <row r="23" spans="1:30" s="3" customFormat="1" ht="56.25" x14ac:dyDescent="0.25">
      <c r="A23" s="294"/>
      <c r="B23" s="323"/>
      <c r="C23" s="326"/>
      <c r="D23" s="326"/>
      <c r="E23" s="317"/>
      <c r="F23" s="294"/>
      <c r="G23" s="294" t="s">
        <v>48</v>
      </c>
      <c r="H23" s="301" t="s">
        <v>4</v>
      </c>
      <c r="I23" s="301">
        <v>0</v>
      </c>
      <c r="J23" s="297">
        <v>0.25</v>
      </c>
      <c r="K23" s="297">
        <v>0.25</v>
      </c>
      <c r="L23" s="297">
        <v>0.25</v>
      </c>
      <c r="M23" s="297">
        <v>0.25</v>
      </c>
      <c r="N23" s="298">
        <v>1</v>
      </c>
      <c r="O23" s="301" t="s">
        <v>34</v>
      </c>
      <c r="P23" s="307">
        <f>0.25*37%</f>
        <v>9.2499999999999999E-2</v>
      </c>
      <c r="Q23" s="306">
        <f>0.25*50%</f>
        <v>0.125</v>
      </c>
      <c r="R23" s="307">
        <f>0.25*67%</f>
        <v>0.16750000000000001</v>
      </c>
      <c r="S23" s="307">
        <f>0.25*87%</f>
        <v>0.2175</v>
      </c>
      <c r="T23" s="297" t="s">
        <v>277</v>
      </c>
      <c r="U23" s="303" t="s">
        <v>305</v>
      </c>
      <c r="V23" s="303" t="s">
        <v>589</v>
      </c>
      <c r="W23" s="297" t="s">
        <v>605</v>
      </c>
      <c r="X23" s="5" t="s">
        <v>144</v>
      </c>
      <c r="Y23" s="2" t="s">
        <v>146</v>
      </c>
      <c r="Z23" s="2" t="s">
        <v>64</v>
      </c>
      <c r="AA23" s="60">
        <v>0.02</v>
      </c>
      <c r="AB23" s="60">
        <v>0.34</v>
      </c>
      <c r="AC23" s="60">
        <v>0.77</v>
      </c>
      <c r="AD23" s="60">
        <v>1</v>
      </c>
    </row>
    <row r="24" spans="1:30" s="3" customFormat="1" ht="78.75" customHeight="1" x14ac:dyDescent="0.25">
      <c r="A24" s="294"/>
      <c r="B24" s="323"/>
      <c r="C24" s="326"/>
      <c r="D24" s="326"/>
      <c r="E24" s="317"/>
      <c r="F24" s="294"/>
      <c r="G24" s="294"/>
      <c r="H24" s="301"/>
      <c r="I24" s="301"/>
      <c r="J24" s="297"/>
      <c r="K24" s="297"/>
      <c r="L24" s="297"/>
      <c r="M24" s="297"/>
      <c r="N24" s="298"/>
      <c r="O24" s="301"/>
      <c r="P24" s="307"/>
      <c r="Q24" s="306"/>
      <c r="R24" s="307"/>
      <c r="S24" s="307"/>
      <c r="T24" s="297"/>
      <c r="U24" s="303"/>
      <c r="V24" s="303"/>
      <c r="W24" s="297"/>
      <c r="X24" s="5" t="s">
        <v>145</v>
      </c>
      <c r="Y24" s="2" t="s">
        <v>147</v>
      </c>
      <c r="Z24" s="2" t="s">
        <v>64</v>
      </c>
      <c r="AA24" s="60">
        <v>0.53</v>
      </c>
      <c r="AB24" s="60">
        <v>0.53</v>
      </c>
      <c r="AC24" s="60">
        <v>0.53</v>
      </c>
      <c r="AD24" s="60">
        <v>0.63</v>
      </c>
    </row>
    <row r="25" spans="1:30" s="3" customFormat="1" ht="35.25" customHeight="1" x14ac:dyDescent="0.25">
      <c r="A25" s="294"/>
      <c r="B25" s="323"/>
      <c r="C25" s="326"/>
      <c r="D25" s="326"/>
      <c r="E25" s="317"/>
      <c r="F25" s="294"/>
      <c r="G25" s="294"/>
      <c r="H25" s="301" t="s">
        <v>766</v>
      </c>
      <c r="I25" s="301">
        <v>0</v>
      </c>
      <c r="J25" s="297">
        <v>0.25</v>
      </c>
      <c r="K25" s="297">
        <v>0.25</v>
      </c>
      <c r="L25" s="297">
        <v>0.25</v>
      </c>
      <c r="M25" s="297">
        <v>0.25</v>
      </c>
      <c r="N25" s="298">
        <v>1</v>
      </c>
      <c r="O25" s="301" t="s">
        <v>35</v>
      </c>
      <c r="P25" s="307">
        <f>0.25*38%</f>
        <v>9.5000000000000001E-2</v>
      </c>
      <c r="Q25" s="307">
        <f>0.25*54%</f>
        <v>0.13500000000000001</v>
      </c>
      <c r="R25" s="307">
        <f>0.25*73%</f>
        <v>0.1825</v>
      </c>
      <c r="S25" s="307">
        <f>0.25*66%</f>
        <v>0.16500000000000001</v>
      </c>
      <c r="T25" s="297" t="s">
        <v>303</v>
      </c>
      <c r="U25" s="303" t="s">
        <v>306</v>
      </c>
      <c r="V25" s="303" t="s">
        <v>590</v>
      </c>
      <c r="W25" s="297" t="s">
        <v>606</v>
      </c>
      <c r="X25" s="5" t="s">
        <v>148</v>
      </c>
      <c r="Y25" s="2" t="s">
        <v>150</v>
      </c>
      <c r="Z25" s="2" t="s">
        <v>64</v>
      </c>
      <c r="AA25" s="60">
        <v>0.35</v>
      </c>
      <c r="AB25" s="60">
        <v>0.47</v>
      </c>
      <c r="AC25" s="60">
        <v>0.24</v>
      </c>
      <c r="AD25" s="60">
        <v>1</v>
      </c>
    </row>
    <row r="26" spans="1:30" s="3" customFormat="1" ht="51" customHeight="1" x14ac:dyDescent="0.25">
      <c r="A26" s="294"/>
      <c r="B26" s="323"/>
      <c r="C26" s="326"/>
      <c r="D26" s="326"/>
      <c r="E26" s="317"/>
      <c r="F26" s="294"/>
      <c r="G26" s="294"/>
      <c r="H26" s="301"/>
      <c r="I26" s="301"/>
      <c r="J26" s="297"/>
      <c r="K26" s="297"/>
      <c r="L26" s="297"/>
      <c r="M26" s="297"/>
      <c r="N26" s="298"/>
      <c r="O26" s="301"/>
      <c r="P26" s="307"/>
      <c r="Q26" s="307"/>
      <c r="R26" s="307"/>
      <c r="S26" s="307"/>
      <c r="T26" s="297"/>
      <c r="U26" s="303"/>
      <c r="V26" s="303"/>
      <c r="W26" s="297"/>
      <c r="X26" s="5" t="s">
        <v>149</v>
      </c>
      <c r="Y26" s="2" t="s">
        <v>151</v>
      </c>
      <c r="Z26" s="2" t="s">
        <v>64</v>
      </c>
      <c r="AA26" s="60">
        <v>0.4</v>
      </c>
      <c r="AB26" s="60">
        <v>0.6</v>
      </c>
      <c r="AC26" s="60">
        <v>0.8</v>
      </c>
      <c r="AD26" s="60">
        <v>1</v>
      </c>
    </row>
    <row r="27" spans="1:30" s="3" customFormat="1" ht="78.75" x14ac:dyDescent="0.25">
      <c r="A27" s="294"/>
      <c r="B27" s="323"/>
      <c r="C27" s="326"/>
      <c r="D27" s="326"/>
      <c r="E27" s="317"/>
      <c r="F27" s="294"/>
      <c r="G27" s="294"/>
      <c r="H27" s="300" t="s">
        <v>5</v>
      </c>
      <c r="I27" s="301">
        <v>0</v>
      </c>
      <c r="J27" s="297">
        <v>0.25</v>
      </c>
      <c r="K27" s="297">
        <v>0.25</v>
      </c>
      <c r="L27" s="297">
        <v>0.25</v>
      </c>
      <c r="M27" s="297">
        <v>0.25</v>
      </c>
      <c r="N27" s="298">
        <v>1</v>
      </c>
      <c r="O27" s="301" t="s">
        <v>36</v>
      </c>
      <c r="P27" s="307">
        <f>0.25*23%</f>
        <v>5.7500000000000002E-2</v>
      </c>
      <c r="Q27" s="307">
        <f>0.25*35%</f>
        <v>8.7499999999999994E-2</v>
      </c>
      <c r="R27" s="307">
        <f>0.25*51%</f>
        <v>0.1275</v>
      </c>
      <c r="S27" s="307">
        <f>0.25*83%</f>
        <v>0.20749999999999999</v>
      </c>
      <c r="T27" s="10" t="s">
        <v>258</v>
      </c>
      <c r="U27" s="61" t="s">
        <v>307</v>
      </c>
      <c r="V27" s="303" t="s">
        <v>591</v>
      </c>
      <c r="W27" s="297" t="s">
        <v>607</v>
      </c>
      <c r="X27" s="5" t="s">
        <v>152</v>
      </c>
      <c r="Y27" s="2" t="s">
        <v>281</v>
      </c>
      <c r="Z27" s="2" t="s">
        <v>65</v>
      </c>
      <c r="AA27" s="60">
        <v>0.76</v>
      </c>
      <c r="AB27" s="60">
        <v>0.76</v>
      </c>
      <c r="AC27" s="60">
        <v>0.98</v>
      </c>
      <c r="AD27" s="60">
        <v>1</v>
      </c>
    </row>
    <row r="28" spans="1:30" s="3" customFormat="1" ht="101.25" x14ac:dyDescent="0.25">
      <c r="A28" s="294"/>
      <c r="B28" s="323"/>
      <c r="C28" s="326"/>
      <c r="D28" s="326"/>
      <c r="E28" s="317"/>
      <c r="F28" s="294"/>
      <c r="G28" s="294"/>
      <c r="H28" s="300"/>
      <c r="I28" s="301"/>
      <c r="J28" s="297"/>
      <c r="K28" s="297"/>
      <c r="L28" s="297"/>
      <c r="M28" s="297"/>
      <c r="N28" s="298"/>
      <c r="O28" s="301"/>
      <c r="P28" s="307"/>
      <c r="Q28" s="307"/>
      <c r="R28" s="307"/>
      <c r="S28" s="307"/>
      <c r="T28" s="10" t="s">
        <v>259</v>
      </c>
      <c r="U28" s="61" t="s">
        <v>311</v>
      </c>
      <c r="V28" s="303"/>
      <c r="W28" s="297"/>
      <c r="X28" s="5" t="s">
        <v>153</v>
      </c>
      <c r="Y28" s="2" t="s">
        <v>252</v>
      </c>
      <c r="Z28" s="2" t="s">
        <v>65</v>
      </c>
      <c r="AA28" s="60">
        <v>0.73</v>
      </c>
      <c r="AB28" s="60">
        <v>0.77</v>
      </c>
      <c r="AC28" s="60">
        <v>0.92</v>
      </c>
      <c r="AD28" s="60">
        <v>1</v>
      </c>
    </row>
    <row r="29" spans="1:30" s="3" customFormat="1" ht="45" x14ac:dyDescent="0.25">
      <c r="A29" s="294"/>
      <c r="B29" s="323"/>
      <c r="C29" s="326"/>
      <c r="D29" s="326"/>
      <c r="E29" s="317"/>
      <c r="F29" s="294"/>
      <c r="G29" s="294"/>
      <c r="H29" s="300"/>
      <c r="I29" s="301"/>
      <c r="J29" s="297"/>
      <c r="K29" s="297"/>
      <c r="L29" s="297"/>
      <c r="M29" s="297"/>
      <c r="N29" s="298"/>
      <c r="O29" s="301"/>
      <c r="P29" s="307"/>
      <c r="Q29" s="307"/>
      <c r="R29" s="307"/>
      <c r="S29" s="307"/>
      <c r="T29" s="297" t="s">
        <v>260</v>
      </c>
      <c r="U29" s="303" t="s">
        <v>308</v>
      </c>
      <c r="V29" s="303"/>
      <c r="W29" s="297"/>
      <c r="X29" s="5" t="s">
        <v>157</v>
      </c>
      <c r="Y29" s="2" t="s">
        <v>159</v>
      </c>
      <c r="Z29" s="2" t="s">
        <v>65</v>
      </c>
      <c r="AA29" s="60">
        <v>0</v>
      </c>
      <c r="AB29" s="60">
        <v>0.16</v>
      </c>
      <c r="AC29" s="60">
        <v>0.33</v>
      </c>
      <c r="AD29" s="60">
        <v>1</v>
      </c>
    </row>
    <row r="30" spans="1:30" s="3" customFormat="1" ht="33.75" x14ac:dyDescent="0.2">
      <c r="A30" s="294"/>
      <c r="B30" s="323"/>
      <c r="C30" s="326"/>
      <c r="D30" s="326"/>
      <c r="E30" s="317"/>
      <c r="F30" s="294"/>
      <c r="G30" s="294"/>
      <c r="H30" s="300"/>
      <c r="I30" s="301"/>
      <c r="J30" s="297"/>
      <c r="K30" s="297"/>
      <c r="L30" s="297"/>
      <c r="M30" s="297"/>
      <c r="N30" s="298"/>
      <c r="O30" s="301"/>
      <c r="P30" s="307"/>
      <c r="Q30" s="307"/>
      <c r="R30" s="307"/>
      <c r="S30" s="307"/>
      <c r="T30" s="297"/>
      <c r="U30" s="303"/>
      <c r="V30" s="303"/>
      <c r="W30" s="297"/>
      <c r="X30" s="11" t="s">
        <v>154</v>
      </c>
      <c r="Y30" s="2" t="s">
        <v>158</v>
      </c>
      <c r="Z30" s="2" t="s">
        <v>65</v>
      </c>
      <c r="AA30" s="60">
        <v>0</v>
      </c>
      <c r="AB30" s="60">
        <v>0.14000000000000001</v>
      </c>
      <c r="AC30" s="60">
        <v>0.15</v>
      </c>
      <c r="AD30" s="60">
        <v>1</v>
      </c>
    </row>
    <row r="31" spans="1:30" s="3" customFormat="1" ht="56.25" x14ac:dyDescent="0.25">
      <c r="A31" s="294"/>
      <c r="B31" s="323"/>
      <c r="C31" s="326"/>
      <c r="D31" s="326"/>
      <c r="E31" s="317"/>
      <c r="F31" s="294"/>
      <c r="G31" s="294"/>
      <c r="H31" s="300"/>
      <c r="I31" s="301"/>
      <c r="J31" s="297"/>
      <c r="K31" s="297"/>
      <c r="L31" s="297"/>
      <c r="M31" s="297"/>
      <c r="N31" s="298"/>
      <c r="O31" s="301"/>
      <c r="P31" s="307"/>
      <c r="Q31" s="307"/>
      <c r="R31" s="307"/>
      <c r="S31" s="307"/>
      <c r="T31" s="297" t="s">
        <v>261</v>
      </c>
      <c r="U31" s="303" t="s">
        <v>309</v>
      </c>
      <c r="V31" s="303"/>
      <c r="W31" s="297"/>
      <c r="X31" s="5" t="s">
        <v>155</v>
      </c>
      <c r="Y31" s="2" t="s">
        <v>160</v>
      </c>
      <c r="Z31" s="2" t="s">
        <v>65</v>
      </c>
      <c r="AA31" s="60">
        <v>0</v>
      </c>
      <c r="AB31" s="60">
        <v>0.16</v>
      </c>
      <c r="AC31" s="60">
        <v>0.16</v>
      </c>
      <c r="AD31" s="60">
        <v>0.16</v>
      </c>
    </row>
    <row r="32" spans="1:30" s="3" customFormat="1" ht="33.75" x14ac:dyDescent="0.25">
      <c r="A32" s="294"/>
      <c r="B32" s="323"/>
      <c r="C32" s="326"/>
      <c r="D32" s="326"/>
      <c r="E32" s="317"/>
      <c r="F32" s="294"/>
      <c r="G32" s="294"/>
      <c r="H32" s="300"/>
      <c r="I32" s="301"/>
      <c r="J32" s="297"/>
      <c r="K32" s="297"/>
      <c r="L32" s="297"/>
      <c r="M32" s="297"/>
      <c r="N32" s="298"/>
      <c r="O32" s="301"/>
      <c r="P32" s="307"/>
      <c r="Q32" s="307"/>
      <c r="R32" s="307"/>
      <c r="S32" s="307"/>
      <c r="T32" s="297"/>
      <c r="U32" s="303"/>
      <c r="V32" s="303"/>
      <c r="W32" s="297"/>
      <c r="X32" s="12" t="s">
        <v>156</v>
      </c>
      <c r="Y32" s="2" t="s">
        <v>281</v>
      </c>
      <c r="Z32" s="2" t="s">
        <v>65</v>
      </c>
      <c r="AA32" s="60">
        <v>0</v>
      </c>
      <c r="AB32" s="60">
        <v>0.17</v>
      </c>
      <c r="AC32" s="60">
        <v>0.35</v>
      </c>
      <c r="AD32" s="60">
        <v>1</v>
      </c>
    </row>
    <row r="33" spans="1:30" s="3" customFormat="1" ht="41.25" customHeight="1" x14ac:dyDescent="0.25">
      <c r="A33" s="294"/>
      <c r="B33" s="323"/>
      <c r="C33" s="326"/>
      <c r="D33" s="326"/>
      <c r="E33" s="317"/>
      <c r="F33" s="294"/>
      <c r="G33" s="294"/>
      <c r="H33" s="300" t="s">
        <v>6</v>
      </c>
      <c r="I33" s="300">
        <v>0</v>
      </c>
      <c r="J33" s="295">
        <v>0.25</v>
      </c>
      <c r="K33" s="295">
        <v>0.25</v>
      </c>
      <c r="L33" s="295">
        <v>0.25</v>
      </c>
      <c r="M33" s="295">
        <v>0.25</v>
      </c>
      <c r="N33" s="296">
        <v>1</v>
      </c>
      <c r="O33" s="300" t="s">
        <v>37</v>
      </c>
      <c r="P33" s="308">
        <f>0.25*85%</f>
        <v>0.21249999999999999</v>
      </c>
      <c r="Q33" s="308">
        <f>0.25*85%</f>
        <v>0.21249999999999999</v>
      </c>
      <c r="R33" s="308">
        <f>0.25*78%</f>
        <v>0.19500000000000001</v>
      </c>
      <c r="S33" s="308">
        <f>0.25*87%</f>
        <v>0.2175</v>
      </c>
      <c r="T33" s="297" t="s">
        <v>300</v>
      </c>
      <c r="U33" s="303" t="s">
        <v>310</v>
      </c>
      <c r="V33" s="303" t="s">
        <v>592</v>
      </c>
      <c r="W33" s="297" t="s">
        <v>608</v>
      </c>
      <c r="X33" s="13" t="s">
        <v>161</v>
      </c>
      <c r="Y33" s="2" t="s">
        <v>253</v>
      </c>
      <c r="Z33" s="2" t="s">
        <v>65</v>
      </c>
      <c r="AA33" s="60">
        <v>0.82</v>
      </c>
      <c r="AB33" s="60">
        <v>0.82</v>
      </c>
      <c r="AC33" s="60">
        <v>0.89</v>
      </c>
      <c r="AD33" s="60">
        <v>0.96</v>
      </c>
    </row>
    <row r="34" spans="1:30" s="3" customFormat="1" ht="33.75" x14ac:dyDescent="0.25">
      <c r="A34" s="294"/>
      <c r="B34" s="323"/>
      <c r="C34" s="326"/>
      <c r="D34" s="326"/>
      <c r="E34" s="317"/>
      <c r="F34" s="294"/>
      <c r="G34" s="294"/>
      <c r="H34" s="300"/>
      <c r="I34" s="300"/>
      <c r="J34" s="295"/>
      <c r="K34" s="295"/>
      <c r="L34" s="295"/>
      <c r="M34" s="295"/>
      <c r="N34" s="296"/>
      <c r="O34" s="300"/>
      <c r="P34" s="308"/>
      <c r="Q34" s="308"/>
      <c r="R34" s="308"/>
      <c r="S34" s="308"/>
      <c r="T34" s="297"/>
      <c r="U34" s="303"/>
      <c r="V34" s="303"/>
      <c r="W34" s="297"/>
      <c r="X34" s="13" t="s">
        <v>162</v>
      </c>
      <c r="Y34" s="2" t="s">
        <v>270</v>
      </c>
      <c r="Z34" s="2" t="s">
        <v>65</v>
      </c>
      <c r="AA34" s="60">
        <v>0.88</v>
      </c>
      <c r="AB34" s="60">
        <v>0.88</v>
      </c>
      <c r="AC34" s="60">
        <v>0.94</v>
      </c>
      <c r="AD34" s="60">
        <v>0.96</v>
      </c>
    </row>
    <row r="35" spans="1:30" s="3" customFormat="1" ht="53.25" customHeight="1" x14ac:dyDescent="0.25">
      <c r="A35" s="294"/>
      <c r="B35" s="323"/>
      <c r="C35" s="326"/>
      <c r="D35" s="326"/>
      <c r="E35" s="317"/>
      <c r="F35" s="294"/>
      <c r="G35" s="294"/>
      <c r="H35" s="300"/>
      <c r="I35" s="300"/>
      <c r="J35" s="295"/>
      <c r="K35" s="295"/>
      <c r="L35" s="295"/>
      <c r="M35" s="295"/>
      <c r="N35" s="296"/>
      <c r="O35" s="300"/>
      <c r="P35" s="308"/>
      <c r="Q35" s="308"/>
      <c r="R35" s="308"/>
      <c r="S35" s="308"/>
      <c r="T35" s="297"/>
      <c r="U35" s="303"/>
      <c r="V35" s="303"/>
      <c r="W35" s="297"/>
      <c r="X35" s="13" t="s">
        <v>163</v>
      </c>
      <c r="Y35" s="2" t="s">
        <v>304</v>
      </c>
      <c r="Z35" s="2" t="s">
        <v>65</v>
      </c>
      <c r="AA35" s="60">
        <v>0</v>
      </c>
      <c r="AB35" s="60">
        <v>0</v>
      </c>
      <c r="AC35" s="60">
        <v>0</v>
      </c>
      <c r="AD35" s="60">
        <v>0.8</v>
      </c>
    </row>
    <row r="36" spans="1:30" s="3" customFormat="1" ht="53.25" customHeight="1" x14ac:dyDescent="0.25">
      <c r="A36" s="294"/>
      <c r="B36" s="323"/>
      <c r="C36" s="327"/>
      <c r="D36" s="327"/>
      <c r="E36" s="317"/>
      <c r="F36" s="294"/>
      <c r="G36" s="294"/>
      <c r="H36" s="300"/>
      <c r="I36" s="300"/>
      <c r="J36" s="295"/>
      <c r="K36" s="295"/>
      <c r="L36" s="295"/>
      <c r="M36" s="295"/>
      <c r="N36" s="296"/>
      <c r="O36" s="300"/>
      <c r="P36" s="308"/>
      <c r="Q36" s="308"/>
      <c r="R36" s="308"/>
      <c r="S36" s="308"/>
      <c r="T36" s="297"/>
      <c r="U36" s="303"/>
      <c r="V36" s="303"/>
      <c r="W36" s="297"/>
      <c r="X36" s="13" t="s">
        <v>164</v>
      </c>
      <c r="Y36" s="2" t="s">
        <v>165</v>
      </c>
      <c r="Z36" s="2" t="s">
        <v>65</v>
      </c>
      <c r="AA36" s="60">
        <v>0</v>
      </c>
      <c r="AB36" s="60">
        <v>0</v>
      </c>
      <c r="AC36" s="60">
        <v>0.03</v>
      </c>
      <c r="AD36" s="60">
        <v>0.33</v>
      </c>
    </row>
    <row r="37" spans="1:30" s="3" customFormat="1" ht="42.75" customHeight="1" x14ac:dyDescent="0.25">
      <c r="A37" s="294"/>
      <c r="B37" s="323"/>
      <c r="C37" s="294" t="s">
        <v>633</v>
      </c>
      <c r="D37" s="293" t="s">
        <v>634</v>
      </c>
      <c r="E37" s="317"/>
      <c r="F37" s="294"/>
      <c r="G37" s="294"/>
      <c r="H37" s="300" t="s">
        <v>7</v>
      </c>
      <c r="I37" s="300">
        <v>0</v>
      </c>
      <c r="J37" s="295">
        <v>0.25</v>
      </c>
      <c r="K37" s="295">
        <v>0.25</v>
      </c>
      <c r="L37" s="295">
        <v>0.25</v>
      </c>
      <c r="M37" s="295">
        <v>0.25</v>
      </c>
      <c r="N37" s="296">
        <v>1</v>
      </c>
      <c r="O37" s="300" t="s">
        <v>38</v>
      </c>
      <c r="P37" s="308">
        <f>0.25*33%</f>
        <v>8.2500000000000004E-2</v>
      </c>
      <c r="Q37" s="308">
        <f>0.25*51%</f>
        <v>0.1275</v>
      </c>
      <c r="R37" s="308">
        <f>0.25*61%</f>
        <v>0.1525</v>
      </c>
      <c r="S37" s="308">
        <f>0.25*77%</f>
        <v>0.1925</v>
      </c>
      <c r="T37" s="297" t="s">
        <v>269</v>
      </c>
      <c r="U37" s="303" t="s">
        <v>291</v>
      </c>
      <c r="V37" s="303" t="s">
        <v>593</v>
      </c>
      <c r="W37" s="303" t="s">
        <v>610</v>
      </c>
      <c r="X37" s="13" t="s">
        <v>166</v>
      </c>
      <c r="Y37" s="2" t="s">
        <v>75</v>
      </c>
      <c r="Z37" s="2" t="s">
        <v>65</v>
      </c>
      <c r="AA37" s="60">
        <v>0.92</v>
      </c>
      <c r="AB37" s="60">
        <v>0.92</v>
      </c>
      <c r="AC37" s="60">
        <v>1</v>
      </c>
      <c r="AD37" s="60">
        <v>1</v>
      </c>
    </row>
    <row r="38" spans="1:30" s="3" customFormat="1" ht="42.75" customHeight="1" x14ac:dyDescent="0.25">
      <c r="A38" s="294"/>
      <c r="B38" s="323"/>
      <c r="C38" s="294"/>
      <c r="D38" s="293"/>
      <c r="E38" s="317"/>
      <c r="F38" s="294"/>
      <c r="G38" s="294"/>
      <c r="H38" s="300"/>
      <c r="I38" s="300"/>
      <c r="J38" s="295"/>
      <c r="K38" s="295"/>
      <c r="L38" s="295"/>
      <c r="M38" s="295"/>
      <c r="N38" s="296"/>
      <c r="O38" s="300"/>
      <c r="P38" s="308"/>
      <c r="Q38" s="308"/>
      <c r="R38" s="308"/>
      <c r="S38" s="308"/>
      <c r="T38" s="297"/>
      <c r="U38" s="303"/>
      <c r="V38" s="303"/>
      <c r="W38" s="303"/>
      <c r="X38" s="13" t="s">
        <v>167</v>
      </c>
      <c r="Y38" s="114" t="s">
        <v>716</v>
      </c>
      <c r="Z38" s="2" t="s">
        <v>65</v>
      </c>
      <c r="AA38" s="60">
        <v>0.6</v>
      </c>
      <c r="AB38" s="60">
        <v>0.77</v>
      </c>
      <c r="AC38" s="60">
        <v>0.73</v>
      </c>
      <c r="AD38" s="60">
        <v>0.91</v>
      </c>
    </row>
    <row r="39" spans="1:30" s="3" customFormat="1" ht="42.75" customHeight="1" x14ac:dyDescent="0.25">
      <c r="A39" s="294"/>
      <c r="B39" s="323"/>
      <c r="C39" s="294"/>
      <c r="D39" s="293"/>
      <c r="E39" s="317"/>
      <c r="F39" s="294"/>
      <c r="G39" s="294"/>
      <c r="H39" s="300"/>
      <c r="I39" s="300"/>
      <c r="J39" s="295"/>
      <c r="K39" s="295"/>
      <c r="L39" s="295"/>
      <c r="M39" s="295"/>
      <c r="N39" s="296"/>
      <c r="O39" s="300"/>
      <c r="P39" s="308"/>
      <c r="Q39" s="308"/>
      <c r="R39" s="308"/>
      <c r="S39" s="308"/>
      <c r="T39" s="297"/>
      <c r="U39" s="303"/>
      <c r="V39" s="303"/>
      <c r="W39" s="303"/>
      <c r="X39" s="13" t="s">
        <v>168</v>
      </c>
      <c r="Y39" s="2" t="s">
        <v>76</v>
      </c>
      <c r="Z39" s="2" t="s">
        <v>65</v>
      </c>
      <c r="AA39" s="60">
        <v>0.87</v>
      </c>
      <c r="AB39" s="60">
        <v>0.87</v>
      </c>
      <c r="AC39" s="60">
        <v>1</v>
      </c>
      <c r="AD39" s="60">
        <v>1</v>
      </c>
    </row>
    <row r="40" spans="1:30" s="3" customFormat="1" ht="42.75" customHeight="1" x14ac:dyDescent="0.25">
      <c r="A40" s="294"/>
      <c r="B40" s="323"/>
      <c r="C40" s="294"/>
      <c r="D40" s="293"/>
      <c r="E40" s="317"/>
      <c r="F40" s="294"/>
      <c r="G40" s="294"/>
      <c r="H40" s="300"/>
      <c r="I40" s="300"/>
      <c r="J40" s="295"/>
      <c r="K40" s="295"/>
      <c r="L40" s="295"/>
      <c r="M40" s="295"/>
      <c r="N40" s="296"/>
      <c r="O40" s="300"/>
      <c r="P40" s="308"/>
      <c r="Q40" s="308"/>
      <c r="R40" s="308"/>
      <c r="S40" s="308"/>
      <c r="T40" s="297"/>
      <c r="U40" s="303"/>
      <c r="V40" s="303"/>
      <c r="W40" s="303"/>
      <c r="X40" s="13" t="s">
        <v>169</v>
      </c>
      <c r="Y40" s="2" t="s">
        <v>75</v>
      </c>
      <c r="Z40" s="2" t="s">
        <v>65</v>
      </c>
      <c r="AA40" s="60">
        <v>0.27</v>
      </c>
      <c r="AB40" s="60">
        <v>0.47</v>
      </c>
      <c r="AC40" s="60">
        <v>0.56999999999999995</v>
      </c>
      <c r="AD40" s="60">
        <v>1</v>
      </c>
    </row>
    <row r="41" spans="1:30" s="3" customFormat="1" ht="42.75" customHeight="1" x14ac:dyDescent="0.25">
      <c r="A41" s="294"/>
      <c r="B41" s="323"/>
      <c r="C41" s="294"/>
      <c r="D41" s="293"/>
      <c r="E41" s="317"/>
      <c r="F41" s="294"/>
      <c r="G41" s="294"/>
      <c r="H41" s="300"/>
      <c r="I41" s="300"/>
      <c r="J41" s="295"/>
      <c r="K41" s="295"/>
      <c r="L41" s="295"/>
      <c r="M41" s="295"/>
      <c r="N41" s="296"/>
      <c r="O41" s="300"/>
      <c r="P41" s="308"/>
      <c r="Q41" s="308"/>
      <c r="R41" s="308"/>
      <c r="S41" s="308"/>
      <c r="T41" s="297"/>
      <c r="U41" s="303"/>
      <c r="V41" s="303"/>
      <c r="W41" s="303"/>
      <c r="X41" s="13" t="s">
        <v>170</v>
      </c>
      <c r="Y41" s="2" t="s">
        <v>179</v>
      </c>
      <c r="Z41" s="2" t="s">
        <v>65</v>
      </c>
      <c r="AA41" s="60">
        <v>0.42</v>
      </c>
      <c r="AB41" s="60">
        <v>0.44</v>
      </c>
      <c r="AC41" s="60">
        <v>0.47</v>
      </c>
      <c r="AD41" s="60">
        <v>1</v>
      </c>
    </row>
    <row r="42" spans="1:30" s="3" customFormat="1" ht="42.75" customHeight="1" x14ac:dyDescent="0.25">
      <c r="A42" s="294"/>
      <c r="B42" s="323"/>
      <c r="C42" s="294"/>
      <c r="D42" s="293"/>
      <c r="E42" s="317"/>
      <c r="F42" s="294"/>
      <c r="G42" s="294"/>
      <c r="H42" s="300"/>
      <c r="I42" s="300"/>
      <c r="J42" s="295"/>
      <c r="K42" s="295"/>
      <c r="L42" s="295"/>
      <c r="M42" s="295"/>
      <c r="N42" s="296"/>
      <c r="O42" s="300"/>
      <c r="P42" s="308"/>
      <c r="Q42" s="308"/>
      <c r="R42" s="308"/>
      <c r="S42" s="308"/>
      <c r="T42" s="297"/>
      <c r="U42" s="303"/>
      <c r="V42" s="303"/>
      <c r="W42" s="303"/>
      <c r="X42" s="13" t="s">
        <v>171</v>
      </c>
      <c r="Y42" s="2" t="s">
        <v>180</v>
      </c>
      <c r="Z42" s="2" t="s">
        <v>65</v>
      </c>
      <c r="AA42" s="60">
        <v>0.45</v>
      </c>
      <c r="AB42" s="60">
        <v>0.52</v>
      </c>
      <c r="AC42" s="60">
        <v>0.68</v>
      </c>
      <c r="AD42" s="60">
        <v>1</v>
      </c>
    </row>
    <row r="43" spans="1:30" s="3" customFormat="1" ht="42.75" customHeight="1" x14ac:dyDescent="0.25">
      <c r="A43" s="294"/>
      <c r="B43" s="323"/>
      <c r="C43" s="294"/>
      <c r="D43" s="293"/>
      <c r="E43" s="317"/>
      <c r="F43" s="294"/>
      <c r="G43" s="294"/>
      <c r="H43" s="300"/>
      <c r="I43" s="300"/>
      <c r="J43" s="295"/>
      <c r="K43" s="295"/>
      <c r="L43" s="295"/>
      <c r="M43" s="295"/>
      <c r="N43" s="296"/>
      <c r="O43" s="300"/>
      <c r="P43" s="308"/>
      <c r="Q43" s="308"/>
      <c r="R43" s="308"/>
      <c r="S43" s="308"/>
      <c r="T43" s="297"/>
      <c r="U43" s="303"/>
      <c r="V43" s="303"/>
      <c r="W43" s="303"/>
      <c r="X43" s="13" t="s">
        <v>172</v>
      </c>
      <c r="Y43" s="2" t="s">
        <v>181</v>
      </c>
      <c r="Z43" s="2" t="s">
        <v>65</v>
      </c>
      <c r="AA43" s="60">
        <v>0.25</v>
      </c>
      <c r="AB43" s="60">
        <v>0.47</v>
      </c>
      <c r="AC43" s="60">
        <v>0.63</v>
      </c>
      <c r="AD43" s="60">
        <v>0.99</v>
      </c>
    </row>
    <row r="44" spans="1:30" s="3" customFormat="1" ht="42.75" customHeight="1" x14ac:dyDescent="0.25">
      <c r="A44" s="294"/>
      <c r="B44" s="323"/>
      <c r="C44" s="294"/>
      <c r="D44" s="293"/>
      <c r="E44" s="317"/>
      <c r="F44" s="294"/>
      <c r="G44" s="294"/>
      <c r="H44" s="300"/>
      <c r="I44" s="300"/>
      <c r="J44" s="295"/>
      <c r="K44" s="295"/>
      <c r="L44" s="295"/>
      <c r="M44" s="295"/>
      <c r="N44" s="296"/>
      <c r="O44" s="300"/>
      <c r="P44" s="308"/>
      <c r="Q44" s="308"/>
      <c r="R44" s="308"/>
      <c r="S44" s="308"/>
      <c r="T44" s="297"/>
      <c r="U44" s="303"/>
      <c r="V44" s="303"/>
      <c r="W44" s="303"/>
      <c r="X44" s="13" t="s">
        <v>173</v>
      </c>
      <c r="Y44" s="2" t="s">
        <v>182</v>
      </c>
      <c r="Z44" s="2" t="s">
        <v>65</v>
      </c>
      <c r="AA44" s="60">
        <v>0.17</v>
      </c>
      <c r="AB44" s="60">
        <v>0.44</v>
      </c>
      <c r="AC44" s="60">
        <v>0.56000000000000005</v>
      </c>
      <c r="AD44" s="60">
        <v>0.94</v>
      </c>
    </row>
    <row r="45" spans="1:30" s="3" customFormat="1" ht="42.75" customHeight="1" x14ac:dyDescent="0.25">
      <c r="A45" s="294"/>
      <c r="B45" s="323"/>
      <c r="C45" s="294"/>
      <c r="D45" s="293"/>
      <c r="E45" s="317"/>
      <c r="F45" s="294"/>
      <c r="G45" s="294"/>
      <c r="H45" s="300"/>
      <c r="I45" s="300"/>
      <c r="J45" s="295"/>
      <c r="K45" s="295"/>
      <c r="L45" s="295"/>
      <c r="M45" s="295"/>
      <c r="N45" s="296"/>
      <c r="O45" s="300"/>
      <c r="P45" s="308"/>
      <c r="Q45" s="308"/>
      <c r="R45" s="308"/>
      <c r="S45" s="308"/>
      <c r="T45" s="297"/>
      <c r="U45" s="303"/>
      <c r="V45" s="303"/>
      <c r="W45" s="303"/>
      <c r="X45" s="13" t="s">
        <v>174</v>
      </c>
      <c r="Y45" s="2" t="s">
        <v>180</v>
      </c>
      <c r="Z45" s="2" t="s">
        <v>65</v>
      </c>
      <c r="AA45" s="60">
        <v>0.13</v>
      </c>
      <c r="AB45" s="60">
        <v>0.5</v>
      </c>
      <c r="AC45" s="60">
        <v>0.7</v>
      </c>
      <c r="AD45" s="60">
        <v>0.91</v>
      </c>
    </row>
    <row r="46" spans="1:30" s="3" customFormat="1" ht="42.75" customHeight="1" x14ac:dyDescent="0.25">
      <c r="A46" s="294"/>
      <c r="B46" s="323"/>
      <c r="C46" s="294"/>
      <c r="D46" s="293"/>
      <c r="E46" s="317"/>
      <c r="F46" s="294"/>
      <c r="G46" s="294"/>
      <c r="H46" s="300"/>
      <c r="I46" s="300"/>
      <c r="J46" s="295"/>
      <c r="K46" s="295"/>
      <c r="L46" s="295"/>
      <c r="M46" s="295"/>
      <c r="N46" s="296"/>
      <c r="O46" s="300"/>
      <c r="P46" s="308"/>
      <c r="Q46" s="308"/>
      <c r="R46" s="308"/>
      <c r="S46" s="308"/>
      <c r="T46" s="297"/>
      <c r="U46" s="303"/>
      <c r="V46" s="303"/>
      <c r="W46" s="303"/>
      <c r="X46" s="13" t="s">
        <v>175</v>
      </c>
      <c r="Y46" s="2" t="s">
        <v>183</v>
      </c>
      <c r="Z46" s="2" t="s">
        <v>65</v>
      </c>
      <c r="AA46" s="60">
        <v>0.3</v>
      </c>
      <c r="AB46" s="60">
        <v>0.44</v>
      </c>
      <c r="AC46" s="60">
        <v>0.47</v>
      </c>
      <c r="AD46" s="60">
        <v>0.9</v>
      </c>
    </row>
    <row r="47" spans="1:30" s="3" customFormat="1" ht="35.25" customHeight="1" x14ac:dyDescent="0.25">
      <c r="A47" s="294"/>
      <c r="B47" s="323"/>
      <c r="C47" s="294"/>
      <c r="D47" s="293"/>
      <c r="E47" s="317"/>
      <c r="F47" s="294"/>
      <c r="G47" s="294"/>
      <c r="H47" s="300"/>
      <c r="I47" s="300"/>
      <c r="J47" s="295"/>
      <c r="K47" s="295"/>
      <c r="L47" s="295"/>
      <c r="M47" s="295"/>
      <c r="N47" s="296"/>
      <c r="O47" s="300"/>
      <c r="P47" s="308"/>
      <c r="Q47" s="308"/>
      <c r="R47" s="308"/>
      <c r="S47" s="308"/>
      <c r="T47" s="297"/>
      <c r="U47" s="303"/>
      <c r="V47" s="303"/>
      <c r="W47" s="303"/>
      <c r="X47" s="13" t="s">
        <v>176</v>
      </c>
      <c r="Y47" s="13" t="s">
        <v>180</v>
      </c>
      <c r="Z47" s="2" t="s">
        <v>65</v>
      </c>
      <c r="AA47" s="60">
        <v>0.37</v>
      </c>
      <c r="AB47" s="60">
        <v>0.51</v>
      </c>
      <c r="AC47" s="60">
        <v>0.56999999999999995</v>
      </c>
      <c r="AD47" s="60">
        <v>1</v>
      </c>
    </row>
    <row r="48" spans="1:30" s="3" customFormat="1" ht="36" customHeight="1" x14ac:dyDescent="0.25">
      <c r="A48" s="294"/>
      <c r="B48" s="323"/>
      <c r="C48" s="294"/>
      <c r="D48" s="293"/>
      <c r="E48" s="317"/>
      <c r="F48" s="294"/>
      <c r="G48" s="294"/>
      <c r="H48" s="300"/>
      <c r="I48" s="300"/>
      <c r="J48" s="295"/>
      <c r="K48" s="295"/>
      <c r="L48" s="295"/>
      <c r="M48" s="295"/>
      <c r="N48" s="296"/>
      <c r="O48" s="300"/>
      <c r="P48" s="308"/>
      <c r="Q48" s="308"/>
      <c r="R48" s="308"/>
      <c r="S48" s="308"/>
      <c r="T48" s="297"/>
      <c r="U48" s="303"/>
      <c r="V48" s="303"/>
      <c r="W48" s="303"/>
      <c r="X48" s="13" t="s">
        <v>177</v>
      </c>
      <c r="Y48" s="2" t="s">
        <v>184</v>
      </c>
      <c r="Z48" s="2" t="s">
        <v>65</v>
      </c>
      <c r="AA48" s="60">
        <v>0.34</v>
      </c>
      <c r="AB48" s="60">
        <v>0.53</v>
      </c>
      <c r="AC48" s="60">
        <v>0.67</v>
      </c>
      <c r="AD48" s="60">
        <v>1</v>
      </c>
    </row>
    <row r="49" spans="1:30" s="3" customFormat="1" ht="180" customHeight="1" x14ac:dyDescent="0.25">
      <c r="A49" s="294"/>
      <c r="B49" s="323"/>
      <c r="C49" s="294"/>
      <c r="D49" s="293"/>
      <c r="E49" s="317"/>
      <c r="F49" s="294"/>
      <c r="G49" s="294"/>
      <c r="H49" s="300"/>
      <c r="I49" s="300"/>
      <c r="J49" s="295"/>
      <c r="K49" s="295"/>
      <c r="L49" s="295"/>
      <c r="M49" s="295"/>
      <c r="N49" s="296"/>
      <c r="O49" s="300"/>
      <c r="P49" s="308"/>
      <c r="Q49" s="308"/>
      <c r="R49" s="308"/>
      <c r="S49" s="308"/>
      <c r="T49" s="297"/>
      <c r="U49" s="303"/>
      <c r="V49" s="303"/>
      <c r="W49" s="303"/>
      <c r="X49" s="13" t="s">
        <v>178</v>
      </c>
      <c r="Y49" s="22" t="s">
        <v>254</v>
      </c>
      <c r="Z49" s="2" t="s">
        <v>65</v>
      </c>
      <c r="AA49" s="60">
        <v>0.06</v>
      </c>
      <c r="AB49" s="60">
        <v>0.28000000000000003</v>
      </c>
      <c r="AC49" s="60">
        <v>0.53</v>
      </c>
      <c r="AD49" s="60">
        <v>0.9</v>
      </c>
    </row>
    <row r="50" spans="1:30" s="3" customFormat="1" ht="31.5" customHeight="1" x14ac:dyDescent="0.25">
      <c r="A50" s="294"/>
      <c r="B50" s="323"/>
      <c r="C50" s="294" t="s">
        <v>631</v>
      </c>
      <c r="D50" s="293" t="s">
        <v>632</v>
      </c>
      <c r="E50" s="317"/>
      <c r="F50" s="294"/>
      <c r="G50" s="294"/>
      <c r="H50" s="301" t="s">
        <v>8</v>
      </c>
      <c r="I50" s="301">
        <v>0</v>
      </c>
      <c r="J50" s="297">
        <v>0.25</v>
      </c>
      <c r="K50" s="297">
        <v>0.25</v>
      </c>
      <c r="L50" s="297">
        <v>0.25</v>
      </c>
      <c r="M50" s="297">
        <v>0.25</v>
      </c>
      <c r="N50" s="298">
        <v>1</v>
      </c>
      <c r="O50" s="301" t="s">
        <v>39</v>
      </c>
      <c r="P50" s="307">
        <f>0.25*91%</f>
        <v>0.22750000000000001</v>
      </c>
      <c r="Q50" s="307">
        <f>0.25*91%</f>
        <v>0.22750000000000001</v>
      </c>
      <c r="R50" s="307">
        <f>0.25*91%</f>
        <v>0.22750000000000001</v>
      </c>
      <c r="S50" s="307">
        <f>0.25*91%</f>
        <v>0.22750000000000001</v>
      </c>
      <c r="T50" s="297" t="s">
        <v>609</v>
      </c>
      <c r="U50" s="303" t="s">
        <v>609</v>
      </c>
      <c r="V50" s="303" t="s">
        <v>609</v>
      </c>
      <c r="W50" s="297" t="s">
        <v>609</v>
      </c>
      <c r="X50" s="13" t="s">
        <v>185</v>
      </c>
      <c r="Y50" s="2"/>
      <c r="Z50" s="2" t="s">
        <v>66</v>
      </c>
      <c r="AA50" s="60">
        <v>0</v>
      </c>
      <c r="AB50" s="60">
        <v>0</v>
      </c>
      <c r="AC50" s="60">
        <v>0</v>
      </c>
      <c r="AD50" s="60">
        <v>0</v>
      </c>
    </row>
    <row r="51" spans="1:30" s="3" customFormat="1" ht="54" customHeight="1" x14ac:dyDescent="0.25">
      <c r="A51" s="294"/>
      <c r="B51" s="323"/>
      <c r="C51" s="294"/>
      <c r="D51" s="293"/>
      <c r="E51" s="317"/>
      <c r="F51" s="294"/>
      <c r="G51" s="294"/>
      <c r="H51" s="301"/>
      <c r="I51" s="301"/>
      <c r="J51" s="297"/>
      <c r="K51" s="297"/>
      <c r="L51" s="297"/>
      <c r="M51" s="297"/>
      <c r="N51" s="298"/>
      <c r="O51" s="301"/>
      <c r="P51" s="307"/>
      <c r="Q51" s="307"/>
      <c r="R51" s="307"/>
      <c r="S51" s="307"/>
      <c r="T51" s="297"/>
      <c r="U51" s="303"/>
      <c r="V51" s="303"/>
      <c r="W51" s="297"/>
      <c r="X51" s="13" t="s">
        <v>186</v>
      </c>
      <c r="Y51" s="2" t="s">
        <v>187</v>
      </c>
      <c r="Z51" s="2" t="s">
        <v>66</v>
      </c>
      <c r="AA51" s="60">
        <v>0</v>
      </c>
      <c r="AB51" s="60">
        <v>0</v>
      </c>
      <c r="AC51" s="60">
        <v>0</v>
      </c>
      <c r="AD51" s="60">
        <v>0</v>
      </c>
    </row>
    <row r="52" spans="1:30" s="3" customFormat="1" ht="42" customHeight="1" x14ac:dyDescent="0.25">
      <c r="A52" s="294"/>
      <c r="B52" s="323"/>
      <c r="C52" s="294"/>
      <c r="D52" s="293"/>
      <c r="E52" s="317"/>
      <c r="F52" s="294"/>
      <c r="G52" s="294" t="s">
        <v>16</v>
      </c>
      <c r="H52" s="301" t="s">
        <v>9</v>
      </c>
      <c r="I52" s="301">
        <v>0</v>
      </c>
      <c r="J52" s="297">
        <v>0.25</v>
      </c>
      <c r="K52" s="297">
        <v>0.25</v>
      </c>
      <c r="L52" s="297">
        <v>0.25</v>
      </c>
      <c r="M52" s="297">
        <v>0.25</v>
      </c>
      <c r="N52" s="298">
        <v>1</v>
      </c>
      <c r="O52" s="301" t="s">
        <v>40</v>
      </c>
      <c r="P52" s="307">
        <f>0.25*67%</f>
        <v>0.16750000000000001</v>
      </c>
      <c r="Q52" s="306">
        <f>0.25*71%</f>
        <v>0.17749999999999999</v>
      </c>
      <c r="R52" s="307">
        <f>0.25*77%</f>
        <v>0.1925</v>
      </c>
      <c r="S52" s="311">
        <f>0.25*86%</f>
        <v>0.215</v>
      </c>
      <c r="T52" s="297" t="s">
        <v>262</v>
      </c>
      <c r="U52" s="303" t="s">
        <v>594</v>
      </c>
      <c r="V52" s="303" t="s">
        <v>602</v>
      </c>
      <c r="W52" s="303" t="s">
        <v>611</v>
      </c>
      <c r="X52" s="13" t="s">
        <v>188</v>
      </c>
      <c r="Y52" s="2" t="s">
        <v>255</v>
      </c>
      <c r="Z52" s="2" t="s">
        <v>67</v>
      </c>
      <c r="AA52" s="60">
        <v>0.93</v>
      </c>
      <c r="AB52" s="60">
        <v>0.83</v>
      </c>
      <c r="AC52" s="60">
        <v>0.8</v>
      </c>
      <c r="AD52" s="60">
        <v>0.93</v>
      </c>
    </row>
    <row r="53" spans="1:30" s="3" customFormat="1" ht="48.75" customHeight="1" x14ac:dyDescent="0.25">
      <c r="A53" s="294"/>
      <c r="B53" s="323"/>
      <c r="C53" s="294"/>
      <c r="D53" s="293"/>
      <c r="E53" s="317"/>
      <c r="F53" s="294"/>
      <c r="G53" s="294"/>
      <c r="H53" s="301"/>
      <c r="I53" s="301"/>
      <c r="J53" s="297"/>
      <c r="K53" s="297"/>
      <c r="L53" s="297"/>
      <c r="M53" s="297"/>
      <c r="N53" s="298"/>
      <c r="O53" s="301"/>
      <c r="P53" s="307"/>
      <c r="Q53" s="306"/>
      <c r="R53" s="307"/>
      <c r="S53" s="311"/>
      <c r="T53" s="297"/>
      <c r="U53" s="303"/>
      <c r="V53" s="303"/>
      <c r="W53" s="303"/>
      <c r="X53" s="13" t="s">
        <v>189</v>
      </c>
      <c r="Y53" s="2" t="s">
        <v>77</v>
      </c>
      <c r="Z53" s="2" t="s">
        <v>64</v>
      </c>
      <c r="AA53" s="60">
        <v>1</v>
      </c>
      <c r="AB53" s="60">
        <v>1</v>
      </c>
      <c r="AC53" s="60">
        <v>1</v>
      </c>
      <c r="AD53" s="60">
        <v>1</v>
      </c>
    </row>
    <row r="54" spans="1:30" s="3" customFormat="1" ht="65.25" customHeight="1" x14ac:dyDescent="0.25">
      <c r="A54" s="294"/>
      <c r="B54" s="323"/>
      <c r="C54" s="294"/>
      <c r="D54" s="293"/>
      <c r="E54" s="317"/>
      <c r="F54" s="294"/>
      <c r="G54" s="294"/>
      <c r="H54" s="301"/>
      <c r="I54" s="301"/>
      <c r="J54" s="297"/>
      <c r="K54" s="297"/>
      <c r="L54" s="297"/>
      <c r="M54" s="297"/>
      <c r="N54" s="298"/>
      <c r="O54" s="301"/>
      <c r="P54" s="307"/>
      <c r="Q54" s="306"/>
      <c r="R54" s="307"/>
      <c r="S54" s="311"/>
      <c r="T54" s="297"/>
      <c r="U54" s="303"/>
      <c r="V54" s="303"/>
      <c r="W54" s="303"/>
      <c r="X54" s="13" t="s">
        <v>190</v>
      </c>
      <c r="Y54" s="2" t="s">
        <v>78</v>
      </c>
      <c r="Z54" s="2" t="s">
        <v>66</v>
      </c>
      <c r="AA54" s="60">
        <v>0.94</v>
      </c>
      <c r="AB54" s="60">
        <v>1</v>
      </c>
      <c r="AC54" s="60">
        <v>1</v>
      </c>
      <c r="AD54" s="60">
        <v>1</v>
      </c>
    </row>
    <row r="55" spans="1:30" s="3" customFormat="1" ht="70.5" customHeight="1" x14ac:dyDescent="0.25">
      <c r="A55" s="294"/>
      <c r="B55" s="323"/>
      <c r="C55" s="294"/>
      <c r="D55" s="293"/>
      <c r="E55" s="317"/>
      <c r="F55" s="294"/>
      <c r="G55" s="294"/>
      <c r="H55" s="301"/>
      <c r="I55" s="301"/>
      <c r="J55" s="297"/>
      <c r="K55" s="297"/>
      <c r="L55" s="297"/>
      <c r="M55" s="297"/>
      <c r="N55" s="298"/>
      <c r="O55" s="301"/>
      <c r="P55" s="307"/>
      <c r="Q55" s="306"/>
      <c r="R55" s="307"/>
      <c r="S55" s="311"/>
      <c r="T55" s="297"/>
      <c r="U55" s="303"/>
      <c r="V55" s="303"/>
      <c r="W55" s="303"/>
      <c r="X55" s="13" t="s">
        <v>191</v>
      </c>
      <c r="Y55" s="2" t="s">
        <v>255</v>
      </c>
      <c r="Z55" s="2" t="s">
        <v>67</v>
      </c>
      <c r="AA55" s="60">
        <v>0.16</v>
      </c>
      <c r="AB55" s="60">
        <v>0.28000000000000003</v>
      </c>
      <c r="AC55" s="60">
        <v>0.35</v>
      </c>
      <c r="AD55" s="60">
        <v>0.45</v>
      </c>
    </row>
    <row r="56" spans="1:30" s="3" customFormat="1" ht="70.5" customHeight="1" x14ac:dyDescent="0.25">
      <c r="A56" s="294"/>
      <c r="B56" s="323"/>
      <c r="C56" s="294"/>
      <c r="D56" s="293"/>
      <c r="E56" s="317"/>
      <c r="F56" s="294"/>
      <c r="G56" s="294"/>
      <c r="H56" s="301"/>
      <c r="I56" s="301"/>
      <c r="J56" s="297"/>
      <c r="K56" s="297"/>
      <c r="L56" s="297"/>
      <c r="M56" s="297"/>
      <c r="N56" s="298"/>
      <c r="O56" s="301"/>
      <c r="P56" s="307"/>
      <c r="Q56" s="306"/>
      <c r="R56" s="307"/>
      <c r="S56" s="311"/>
      <c r="T56" s="297"/>
      <c r="U56" s="303"/>
      <c r="V56" s="303"/>
      <c r="W56" s="303"/>
      <c r="X56" s="13" t="s">
        <v>192</v>
      </c>
      <c r="Y56" s="2" t="s">
        <v>77</v>
      </c>
      <c r="Z56" s="2" t="s">
        <v>64</v>
      </c>
      <c r="AA56" s="60">
        <v>0.08</v>
      </c>
      <c r="AB56" s="60">
        <v>0.28000000000000003</v>
      </c>
      <c r="AC56" s="60">
        <v>0.62</v>
      </c>
      <c r="AD56" s="60">
        <v>1</v>
      </c>
    </row>
    <row r="57" spans="1:30" s="3" customFormat="1" ht="63.75" customHeight="1" x14ac:dyDescent="0.25">
      <c r="A57" s="294"/>
      <c r="B57" s="323"/>
      <c r="C57" s="294"/>
      <c r="D57" s="293"/>
      <c r="E57" s="317"/>
      <c r="F57" s="294"/>
      <c r="G57" s="294"/>
      <c r="H57" s="301"/>
      <c r="I57" s="301"/>
      <c r="J57" s="297"/>
      <c r="K57" s="297"/>
      <c r="L57" s="297"/>
      <c r="M57" s="297"/>
      <c r="N57" s="298"/>
      <c r="O57" s="301"/>
      <c r="P57" s="307"/>
      <c r="Q57" s="306"/>
      <c r="R57" s="307"/>
      <c r="S57" s="311"/>
      <c r="T57" s="297"/>
      <c r="U57" s="303"/>
      <c r="V57" s="303"/>
      <c r="W57" s="303"/>
      <c r="X57" s="13" t="s">
        <v>193</v>
      </c>
      <c r="Y57" s="2" t="s">
        <v>194</v>
      </c>
      <c r="Z57" s="2" t="s">
        <v>66</v>
      </c>
      <c r="AA57" s="60">
        <v>0.17</v>
      </c>
      <c r="AB57" s="60">
        <v>0.26</v>
      </c>
      <c r="AC57" s="60">
        <v>0.45</v>
      </c>
      <c r="AD57" s="60">
        <v>1</v>
      </c>
    </row>
    <row r="58" spans="1:30" s="56" customFormat="1" ht="50.25" customHeight="1" x14ac:dyDescent="0.25">
      <c r="A58" s="294"/>
      <c r="B58" s="323"/>
      <c r="C58" s="294"/>
      <c r="D58" s="293"/>
      <c r="E58" s="317"/>
      <c r="F58" s="294"/>
      <c r="G58" s="294"/>
      <c r="H58" s="299" t="s">
        <v>41</v>
      </c>
      <c r="I58" s="299">
        <v>0</v>
      </c>
      <c r="J58" s="303">
        <v>0.25</v>
      </c>
      <c r="K58" s="303">
        <v>0.25</v>
      </c>
      <c r="L58" s="303">
        <v>0.25</v>
      </c>
      <c r="M58" s="303">
        <v>0.25</v>
      </c>
      <c r="N58" s="320">
        <v>1</v>
      </c>
      <c r="O58" s="299" t="s">
        <v>42</v>
      </c>
      <c r="P58" s="316">
        <f>0.25*26%</f>
        <v>6.5000000000000002E-2</v>
      </c>
      <c r="Q58" s="316">
        <f>0.25*40%</f>
        <v>0.1</v>
      </c>
      <c r="R58" s="316">
        <f>0.25*53%</f>
        <v>0.13250000000000001</v>
      </c>
      <c r="S58" s="314">
        <f>0.25*99%</f>
        <v>0.2475</v>
      </c>
      <c r="T58" s="303" t="s">
        <v>263</v>
      </c>
      <c r="U58" s="303" t="s">
        <v>312</v>
      </c>
      <c r="V58" s="303" t="s">
        <v>603</v>
      </c>
      <c r="W58" s="303" t="s">
        <v>612</v>
      </c>
      <c r="X58" s="54" t="s">
        <v>195</v>
      </c>
      <c r="Y58" s="55" t="s">
        <v>79</v>
      </c>
      <c r="Z58" s="55" t="s">
        <v>68</v>
      </c>
      <c r="AA58" s="113">
        <v>0.96</v>
      </c>
      <c r="AB58" s="113">
        <v>0.96</v>
      </c>
      <c r="AC58" s="113">
        <v>0.96</v>
      </c>
      <c r="AD58" s="113">
        <v>0.96</v>
      </c>
    </row>
    <row r="59" spans="1:30" s="56" customFormat="1" ht="50.25" customHeight="1" x14ac:dyDescent="0.25">
      <c r="A59" s="294"/>
      <c r="B59" s="323"/>
      <c r="C59" s="294"/>
      <c r="D59" s="293"/>
      <c r="E59" s="317"/>
      <c r="F59" s="294"/>
      <c r="G59" s="294"/>
      <c r="H59" s="299"/>
      <c r="I59" s="299"/>
      <c r="J59" s="303"/>
      <c r="K59" s="303"/>
      <c r="L59" s="303"/>
      <c r="M59" s="303"/>
      <c r="N59" s="320"/>
      <c r="O59" s="299"/>
      <c r="P59" s="316"/>
      <c r="Q59" s="316"/>
      <c r="R59" s="316"/>
      <c r="S59" s="314"/>
      <c r="T59" s="303"/>
      <c r="U59" s="303"/>
      <c r="V59" s="303"/>
      <c r="W59" s="303"/>
      <c r="X59" s="54" t="s">
        <v>196</v>
      </c>
      <c r="Y59" s="55" t="s">
        <v>202</v>
      </c>
      <c r="Z59" s="55" t="s">
        <v>68</v>
      </c>
      <c r="AA59" s="113">
        <v>0</v>
      </c>
      <c r="AB59" s="113">
        <v>0</v>
      </c>
      <c r="AC59" s="113">
        <v>0</v>
      </c>
      <c r="AD59" s="113">
        <v>0</v>
      </c>
    </row>
    <row r="60" spans="1:30" s="56" customFormat="1" ht="50.25" customHeight="1" x14ac:dyDescent="0.25">
      <c r="A60" s="294"/>
      <c r="B60" s="323"/>
      <c r="C60" s="294"/>
      <c r="D60" s="293"/>
      <c r="E60" s="317"/>
      <c r="F60" s="294"/>
      <c r="G60" s="294"/>
      <c r="H60" s="299"/>
      <c r="I60" s="299"/>
      <c r="J60" s="303"/>
      <c r="K60" s="303"/>
      <c r="L60" s="303"/>
      <c r="M60" s="303"/>
      <c r="N60" s="320"/>
      <c r="O60" s="299"/>
      <c r="P60" s="316"/>
      <c r="Q60" s="316"/>
      <c r="R60" s="316"/>
      <c r="S60" s="314"/>
      <c r="T60" s="303"/>
      <c r="U60" s="303"/>
      <c r="V60" s="303"/>
      <c r="W60" s="303"/>
      <c r="X60" s="54" t="s">
        <v>197</v>
      </c>
      <c r="Y60" s="55" t="s">
        <v>203</v>
      </c>
      <c r="Z60" s="55" t="s">
        <v>68</v>
      </c>
      <c r="AA60" s="113">
        <v>0.04</v>
      </c>
      <c r="AB60" s="113">
        <v>0.04</v>
      </c>
      <c r="AC60" s="113">
        <v>0.04</v>
      </c>
      <c r="AD60" s="113">
        <v>0.04</v>
      </c>
    </row>
    <row r="61" spans="1:30" s="56" customFormat="1" ht="50.25" customHeight="1" x14ac:dyDescent="0.25">
      <c r="A61" s="294"/>
      <c r="B61" s="323"/>
      <c r="C61" s="294"/>
      <c r="D61" s="293"/>
      <c r="E61" s="317"/>
      <c r="F61" s="294"/>
      <c r="G61" s="294"/>
      <c r="H61" s="299"/>
      <c r="I61" s="299"/>
      <c r="J61" s="303"/>
      <c r="K61" s="303"/>
      <c r="L61" s="303"/>
      <c r="M61" s="303"/>
      <c r="N61" s="320"/>
      <c r="O61" s="299"/>
      <c r="P61" s="316"/>
      <c r="Q61" s="316"/>
      <c r="R61" s="316"/>
      <c r="S61" s="314"/>
      <c r="T61" s="303"/>
      <c r="U61" s="303"/>
      <c r="V61" s="303"/>
      <c r="W61" s="303"/>
      <c r="X61" s="54" t="s">
        <v>198</v>
      </c>
      <c r="Y61" s="55" t="s">
        <v>204</v>
      </c>
      <c r="Z61" s="55" t="s">
        <v>68</v>
      </c>
      <c r="AA61" s="113">
        <v>0.08</v>
      </c>
      <c r="AB61" s="113">
        <v>0.08</v>
      </c>
      <c r="AC61" s="113">
        <v>0.08</v>
      </c>
      <c r="AD61" s="113">
        <v>0.08</v>
      </c>
    </row>
    <row r="62" spans="1:30" s="56" customFormat="1" ht="50.25" customHeight="1" x14ac:dyDescent="0.25">
      <c r="A62" s="294"/>
      <c r="B62" s="323"/>
      <c r="C62" s="294"/>
      <c r="D62" s="293"/>
      <c r="E62" s="317"/>
      <c r="F62" s="294"/>
      <c r="G62" s="294"/>
      <c r="H62" s="299"/>
      <c r="I62" s="299"/>
      <c r="J62" s="303"/>
      <c r="K62" s="303"/>
      <c r="L62" s="303"/>
      <c r="M62" s="303"/>
      <c r="N62" s="320"/>
      <c r="O62" s="299"/>
      <c r="P62" s="316"/>
      <c r="Q62" s="316"/>
      <c r="R62" s="316"/>
      <c r="S62" s="314"/>
      <c r="T62" s="303"/>
      <c r="U62" s="303"/>
      <c r="V62" s="303"/>
      <c r="W62" s="303"/>
      <c r="X62" s="54" t="s">
        <v>199</v>
      </c>
      <c r="Y62" s="55" t="s">
        <v>205</v>
      </c>
      <c r="Z62" s="55" t="s">
        <v>68</v>
      </c>
      <c r="AA62" s="113">
        <v>0</v>
      </c>
      <c r="AB62" s="113">
        <v>0</v>
      </c>
      <c r="AC62" s="113">
        <v>0</v>
      </c>
      <c r="AD62" s="113">
        <v>0</v>
      </c>
    </row>
    <row r="63" spans="1:30" s="56" customFormat="1" ht="50.25" customHeight="1" x14ac:dyDescent="0.25">
      <c r="A63" s="294"/>
      <c r="B63" s="323"/>
      <c r="C63" s="294"/>
      <c r="D63" s="293"/>
      <c r="E63" s="317"/>
      <c r="F63" s="294"/>
      <c r="G63" s="294"/>
      <c r="H63" s="299"/>
      <c r="I63" s="299"/>
      <c r="J63" s="303"/>
      <c r="K63" s="303"/>
      <c r="L63" s="303"/>
      <c r="M63" s="303"/>
      <c r="N63" s="320"/>
      <c r="O63" s="299"/>
      <c r="P63" s="316"/>
      <c r="Q63" s="316"/>
      <c r="R63" s="316"/>
      <c r="S63" s="314"/>
      <c r="T63" s="303"/>
      <c r="U63" s="303"/>
      <c r="V63" s="303"/>
      <c r="W63" s="303"/>
      <c r="X63" s="54" t="s">
        <v>200</v>
      </c>
      <c r="Y63" s="55" t="s">
        <v>80</v>
      </c>
      <c r="Z63" s="55" t="s">
        <v>249</v>
      </c>
      <c r="AA63" s="113">
        <v>0.15</v>
      </c>
      <c r="AB63" s="113">
        <v>0.66</v>
      </c>
      <c r="AC63" s="113">
        <v>0.89</v>
      </c>
      <c r="AD63" s="113">
        <v>1</v>
      </c>
    </row>
    <row r="64" spans="1:30" s="56" customFormat="1" ht="50.25" customHeight="1" x14ac:dyDescent="0.25">
      <c r="A64" s="294"/>
      <c r="B64" s="323"/>
      <c r="C64" s="294"/>
      <c r="D64" s="293"/>
      <c r="E64" s="317"/>
      <c r="F64" s="294"/>
      <c r="G64" s="294"/>
      <c r="H64" s="299"/>
      <c r="I64" s="299"/>
      <c r="J64" s="303"/>
      <c r="K64" s="303"/>
      <c r="L64" s="303"/>
      <c r="M64" s="303"/>
      <c r="N64" s="320"/>
      <c r="O64" s="299"/>
      <c r="P64" s="316"/>
      <c r="Q64" s="316"/>
      <c r="R64" s="316"/>
      <c r="S64" s="314"/>
      <c r="T64" s="303"/>
      <c r="U64" s="303"/>
      <c r="V64" s="303"/>
      <c r="W64" s="303"/>
      <c r="X64" s="54" t="s">
        <v>201</v>
      </c>
      <c r="Y64" s="55" t="s">
        <v>256</v>
      </c>
      <c r="Z64" s="55" t="s">
        <v>64</v>
      </c>
      <c r="AA64" s="113">
        <v>0.12</v>
      </c>
      <c r="AB64" s="113">
        <v>0.47</v>
      </c>
      <c r="AC64" s="113">
        <v>0.89</v>
      </c>
      <c r="AD64" s="113">
        <v>1</v>
      </c>
    </row>
    <row r="65" spans="1:30" s="56" customFormat="1" ht="50.25" customHeight="1" x14ac:dyDescent="0.25">
      <c r="A65" s="294"/>
      <c r="B65" s="323"/>
      <c r="C65" s="294"/>
      <c r="D65" s="293"/>
      <c r="E65" s="317"/>
      <c r="F65" s="294"/>
      <c r="G65" s="294"/>
      <c r="H65" s="299"/>
      <c r="I65" s="299"/>
      <c r="J65" s="303"/>
      <c r="K65" s="303"/>
      <c r="L65" s="303"/>
      <c r="M65" s="303"/>
      <c r="N65" s="320"/>
      <c r="O65" s="299"/>
      <c r="P65" s="316"/>
      <c r="Q65" s="316"/>
      <c r="R65" s="316"/>
      <c r="S65" s="314"/>
      <c r="T65" s="303"/>
      <c r="U65" s="303"/>
      <c r="V65" s="303"/>
      <c r="W65" s="303"/>
      <c r="X65" s="54" t="s">
        <v>301</v>
      </c>
      <c r="Y65" s="55" t="s">
        <v>206</v>
      </c>
      <c r="Z65" s="57" t="s">
        <v>65</v>
      </c>
      <c r="AA65" s="113">
        <v>0.06</v>
      </c>
      <c r="AB65" s="113">
        <v>0.11</v>
      </c>
      <c r="AC65" s="113">
        <v>0.36</v>
      </c>
      <c r="AD65" s="113">
        <v>1</v>
      </c>
    </row>
    <row r="66" spans="1:30" s="3" customFormat="1" ht="47.25" customHeight="1" x14ac:dyDescent="0.25">
      <c r="A66" s="294"/>
      <c r="B66" s="323"/>
      <c r="C66" s="294"/>
      <c r="D66" s="293"/>
      <c r="E66" s="317"/>
      <c r="F66" s="294"/>
      <c r="G66" s="294"/>
      <c r="H66" s="300" t="s">
        <v>10</v>
      </c>
      <c r="I66" s="300">
        <v>0</v>
      </c>
      <c r="J66" s="295">
        <v>0.25</v>
      </c>
      <c r="K66" s="295">
        <v>0.25</v>
      </c>
      <c r="L66" s="295">
        <v>0.25</v>
      </c>
      <c r="M66" s="295">
        <v>0.25</v>
      </c>
      <c r="N66" s="296">
        <v>1</v>
      </c>
      <c r="O66" s="300" t="s">
        <v>43</v>
      </c>
      <c r="P66" s="308">
        <f>0.25*42%</f>
        <v>0.105</v>
      </c>
      <c r="Q66" s="315">
        <f>0.25*50%</f>
        <v>0.125</v>
      </c>
      <c r="R66" s="315">
        <f>0.25*63%</f>
        <v>0.1575</v>
      </c>
      <c r="S66" s="315">
        <f>0.25*48%</f>
        <v>0.12</v>
      </c>
      <c r="T66" s="297" t="s">
        <v>287</v>
      </c>
      <c r="U66" s="303" t="s">
        <v>286</v>
      </c>
      <c r="V66" s="303" t="s">
        <v>595</v>
      </c>
      <c r="W66" s="303" t="s">
        <v>621</v>
      </c>
      <c r="X66" s="13" t="s">
        <v>207</v>
      </c>
      <c r="Y66" s="2" t="s">
        <v>208</v>
      </c>
      <c r="Z66" s="2" t="s">
        <v>63</v>
      </c>
      <c r="AA66" s="113">
        <v>0.48</v>
      </c>
      <c r="AB66" s="113">
        <v>0.57999999999999996</v>
      </c>
      <c r="AC66" s="113">
        <v>0.76</v>
      </c>
      <c r="AD66" s="113">
        <v>0.95</v>
      </c>
    </row>
    <row r="67" spans="1:30" s="3" customFormat="1" ht="216.75" customHeight="1" x14ac:dyDescent="0.25">
      <c r="A67" s="294"/>
      <c r="B67" s="323"/>
      <c r="C67" s="294"/>
      <c r="D67" s="293"/>
      <c r="E67" s="317"/>
      <c r="F67" s="294"/>
      <c r="G67" s="294"/>
      <c r="H67" s="300"/>
      <c r="I67" s="300"/>
      <c r="J67" s="295"/>
      <c r="K67" s="295"/>
      <c r="L67" s="295"/>
      <c r="M67" s="295"/>
      <c r="N67" s="296"/>
      <c r="O67" s="300"/>
      <c r="P67" s="308"/>
      <c r="Q67" s="315"/>
      <c r="R67" s="315"/>
      <c r="S67" s="315"/>
      <c r="T67" s="297"/>
      <c r="U67" s="303"/>
      <c r="V67" s="303"/>
      <c r="W67" s="303"/>
      <c r="X67" s="13" t="s">
        <v>285</v>
      </c>
      <c r="Y67" s="2" t="s">
        <v>209</v>
      </c>
      <c r="Z67" s="2" t="s">
        <v>249</v>
      </c>
      <c r="AA67" s="113">
        <v>0.32</v>
      </c>
      <c r="AB67" s="113">
        <v>0.37</v>
      </c>
      <c r="AC67" s="113">
        <v>0.41</v>
      </c>
      <c r="AD67" s="113">
        <v>1</v>
      </c>
    </row>
    <row r="68" spans="1:30" s="3" customFormat="1" ht="57.75" customHeight="1" x14ac:dyDescent="0.25">
      <c r="A68" s="321" t="s">
        <v>635</v>
      </c>
      <c r="B68" s="321" t="s">
        <v>635</v>
      </c>
      <c r="C68" s="294" t="s">
        <v>636</v>
      </c>
      <c r="D68" s="293" t="s">
        <v>637</v>
      </c>
      <c r="E68" s="317" t="s">
        <v>31</v>
      </c>
      <c r="F68" s="294" t="s">
        <v>11</v>
      </c>
      <c r="G68" s="294" t="s">
        <v>12</v>
      </c>
      <c r="H68" s="301" t="s">
        <v>13</v>
      </c>
      <c r="I68" s="301">
        <v>0</v>
      </c>
      <c r="J68" s="297">
        <v>0.25</v>
      </c>
      <c r="K68" s="297">
        <v>0.25</v>
      </c>
      <c r="L68" s="297">
        <v>0.25</v>
      </c>
      <c r="M68" s="297">
        <v>0.25</v>
      </c>
      <c r="N68" s="297">
        <v>1</v>
      </c>
      <c r="O68" s="301" t="s">
        <v>44</v>
      </c>
      <c r="P68" s="298">
        <f>0.25*47%</f>
        <v>0.11749999999999999</v>
      </c>
      <c r="Q68" s="298">
        <f>0.25*62%</f>
        <v>0.155</v>
      </c>
      <c r="R68" s="298">
        <f>0.25*75%</f>
        <v>0.1875</v>
      </c>
      <c r="S68" s="298">
        <f>0.25*93%</f>
        <v>0.23250000000000001</v>
      </c>
      <c r="T68" s="303" t="s">
        <v>283</v>
      </c>
      <c r="U68" s="303" t="s">
        <v>282</v>
      </c>
      <c r="V68" s="303" t="s">
        <v>596</v>
      </c>
      <c r="W68" s="297" t="s">
        <v>613</v>
      </c>
      <c r="X68" s="13" t="s">
        <v>210</v>
      </c>
      <c r="Y68" s="2" t="s">
        <v>214</v>
      </c>
      <c r="Z68" s="2" t="s">
        <v>70</v>
      </c>
      <c r="AA68" s="60">
        <v>0.38</v>
      </c>
      <c r="AB68" s="60">
        <v>0.65</v>
      </c>
      <c r="AC68" s="60">
        <v>0.62</v>
      </c>
      <c r="AD68" s="60">
        <v>1</v>
      </c>
    </row>
    <row r="69" spans="1:30" s="3" customFormat="1" ht="30.75" customHeight="1" x14ac:dyDescent="0.25">
      <c r="A69" s="321"/>
      <c r="B69" s="321"/>
      <c r="C69" s="294"/>
      <c r="D69" s="293"/>
      <c r="E69" s="317"/>
      <c r="F69" s="294"/>
      <c r="G69" s="294"/>
      <c r="H69" s="301"/>
      <c r="I69" s="301"/>
      <c r="J69" s="297"/>
      <c r="K69" s="297"/>
      <c r="L69" s="297"/>
      <c r="M69" s="297"/>
      <c r="N69" s="297"/>
      <c r="O69" s="301"/>
      <c r="P69" s="298"/>
      <c r="Q69" s="298"/>
      <c r="R69" s="298"/>
      <c r="S69" s="298"/>
      <c r="T69" s="303"/>
      <c r="U69" s="303"/>
      <c r="V69" s="303"/>
      <c r="W69" s="297"/>
      <c r="X69" s="13" t="s">
        <v>211</v>
      </c>
      <c r="Y69" s="2" t="s">
        <v>216</v>
      </c>
      <c r="Z69" s="2" t="s">
        <v>62</v>
      </c>
      <c r="AA69" s="60">
        <v>0.23</v>
      </c>
      <c r="AB69" s="60">
        <v>0.47</v>
      </c>
      <c r="AC69" s="60">
        <v>0.73</v>
      </c>
      <c r="AD69" s="60">
        <v>0.99</v>
      </c>
    </row>
    <row r="70" spans="1:30" s="3" customFormat="1" ht="43.5" customHeight="1" x14ac:dyDescent="0.25">
      <c r="A70" s="321"/>
      <c r="B70" s="321"/>
      <c r="C70" s="294"/>
      <c r="D70" s="293"/>
      <c r="E70" s="317"/>
      <c r="F70" s="294"/>
      <c r="G70" s="294"/>
      <c r="H70" s="301"/>
      <c r="I70" s="301"/>
      <c r="J70" s="297"/>
      <c r="K70" s="297"/>
      <c r="L70" s="297"/>
      <c r="M70" s="297"/>
      <c r="N70" s="297"/>
      <c r="O70" s="301"/>
      <c r="P70" s="298"/>
      <c r="Q70" s="298"/>
      <c r="R70" s="298"/>
      <c r="S70" s="298"/>
      <c r="T70" s="303"/>
      <c r="U70" s="303"/>
      <c r="V70" s="303"/>
      <c r="W70" s="297"/>
      <c r="X70" s="13" t="s">
        <v>212</v>
      </c>
      <c r="Y70" s="2" t="s">
        <v>213</v>
      </c>
      <c r="Z70" s="2" t="s">
        <v>247</v>
      </c>
      <c r="AA70" s="60">
        <v>0.43</v>
      </c>
      <c r="AB70" s="60">
        <v>0.51</v>
      </c>
      <c r="AC70" s="60">
        <v>0.77</v>
      </c>
      <c r="AD70" s="60">
        <v>1</v>
      </c>
    </row>
    <row r="71" spans="1:30" s="3" customFormat="1" ht="60" customHeight="1" x14ac:dyDescent="0.25">
      <c r="A71" s="321"/>
      <c r="B71" s="321"/>
      <c r="C71" s="294"/>
      <c r="D71" s="293"/>
      <c r="E71" s="317"/>
      <c r="F71" s="294"/>
      <c r="G71" s="63" t="s">
        <v>14</v>
      </c>
      <c r="H71" s="301"/>
      <c r="I71" s="301"/>
      <c r="J71" s="297"/>
      <c r="K71" s="297"/>
      <c r="L71" s="297"/>
      <c r="M71" s="297"/>
      <c r="N71" s="297"/>
      <c r="O71" s="301"/>
      <c r="P71" s="298"/>
      <c r="Q71" s="298"/>
      <c r="R71" s="298"/>
      <c r="S71" s="298"/>
      <c r="T71" s="303"/>
      <c r="U71" s="303"/>
      <c r="V71" s="303"/>
      <c r="W71" s="297"/>
      <c r="X71" s="13" t="s">
        <v>284</v>
      </c>
      <c r="Y71" s="13" t="s">
        <v>215</v>
      </c>
      <c r="Z71" s="2" t="s">
        <v>70</v>
      </c>
      <c r="AA71" s="60">
        <v>0.38</v>
      </c>
      <c r="AB71" s="60">
        <v>0.56000000000000005</v>
      </c>
      <c r="AC71" s="60">
        <v>0.55000000000000004</v>
      </c>
      <c r="AD71" s="60">
        <v>1</v>
      </c>
    </row>
    <row r="72" spans="1:30" s="3" customFormat="1" ht="53.25" customHeight="1" x14ac:dyDescent="0.25">
      <c r="A72" s="321"/>
      <c r="B72" s="321"/>
      <c r="C72" s="294"/>
      <c r="D72" s="78" t="s">
        <v>638</v>
      </c>
      <c r="E72" s="317"/>
      <c r="F72" s="294"/>
      <c r="G72" s="294" t="s">
        <v>15</v>
      </c>
      <c r="H72" s="301" t="s">
        <v>17</v>
      </c>
      <c r="I72" s="301">
        <v>0</v>
      </c>
      <c r="J72" s="297">
        <v>0.25</v>
      </c>
      <c r="K72" s="297">
        <v>0.25</v>
      </c>
      <c r="L72" s="297">
        <v>0.25</v>
      </c>
      <c r="M72" s="297">
        <v>0.25</v>
      </c>
      <c r="N72" s="297">
        <v>1</v>
      </c>
      <c r="O72" s="301" t="s">
        <v>45</v>
      </c>
      <c r="P72" s="298">
        <f>0.25*25%</f>
        <v>6.25E-2</v>
      </c>
      <c r="Q72" s="298">
        <f>0.25*35%</f>
        <v>8.7499999999999994E-2</v>
      </c>
      <c r="R72" s="298">
        <f>0.25*39%</f>
        <v>9.7500000000000003E-2</v>
      </c>
      <c r="S72" s="298">
        <f>0.25*80%</f>
        <v>0.2</v>
      </c>
      <c r="T72" s="297" t="s">
        <v>264</v>
      </c>
      <c r="U72" s="303" t="s">
        <v>315</v>
      </c>
      <c r="V72" s="303" t="s">
        <v>597</v>
      </c>
      <c r="W72" s="297" t="s">
        <v>614</v>
      </c>
      <c r="X72" s="13" t="s">
        <v>217</v>
      </c>
      <c r="Y72" s="4" t="s">
        <v>81</v>
      </c>
      <c r="Z72" s="2" t="s">
        <v>72</v>
      </c>
      <c r="AA72" s="60">
        <v>0.05</v>
      </c>
      <c r="AB72" s="60">
        <v>0.05</v>
      </c>
      <c r="AC72" s="60">
        <v>0.05</v>
      </c>
      <c r="AD72" s="60">
        <v>0.05</v>
      </c>
    </row>
    <row r="73" spans="1:30" s="3" customFormat="1" ht="38.25" customHeight="1" x14ac:dyDescent="0.25">
      <c r="A73" s="321"/>
      <c r="B73" s="321"/>
      <c r="C73" s="294"/>
      <c r="D73" s="293" t="s">
        <v>639</v>
      </c>
      <c r="E73" s="317"/>
      <c r="F73" s="294"/>
      <c r="G73" s="294"/>
      <c r="H73" s="301"/>
      <c r="I73" s="301"/>
      <c r="J73" s="297"/>
      <c r="K73" s="297"/>
      <c r="L73" s="297"/>
      <c r="M73" s="297"/>
      <c r="N73" s="297"/>
      <c r="O73" s="301"/>
      <c r="P73" s="298"/>
      <c r="Q73" s="298"/>
      <c r="R73" s="298"/>
      <c r="S73" s="298"/>
      <c r="T73" s="297"/>
      <c r="U73" s="303"/>
      <c r="V73" s="303"/>
      <c r="W73" s="297"/>
      <c r="X73" s="13" t="s">
        <v>218</v>
      </c>
      <c r="Y73" s="2" t="s">
        <v>221</v>
      </c>
      <c r="Z73" s="2" t="s">
        <v>248</v>
      </c>
      <c r="AA73" s="60">
        <v>0</v>
      </c>
      <c r="AB73" s="60">
        <v>0</v>
      </c>
      <c r="AC73" s="60">
        <v>0</v>
      </c>
      <c r="AD73" s="60">
        <v>0</v>
      </c>
    </row>
    <row r="74" spans="1:30" s="3" customFormat="1" ht="34.5" customHeight="1" x14ac:dyDescent="0.25">
      <c r="A74" s="321"/>
      <c r="B74" s="321"/>
      <c r="C74" s="294"/>
      <c r="D74" s="293"/>
      <c r="E74" s="317"/>
      <c r="F74" s="294"/>
      <c r="G74" s="294"/>
      <c r="H74" s="301"/>
      <c r="I74" s="301"/>
      <c r="J74" s="297"/>
      <c r="K74" s="297"/>
      <c r="L74" s="297"/>
      <c r="M74" s="297"/>
      <c r="N74" s="297"/>
      <c r="O74" s="301"/>
      <c r="P74" s="298"/>
      <c r="Q74" s="298"/>
      <c r="R74" s="298"/>
      <c r="S74" s="298"/>
      <c r="T74" s="297"/>
      <c r="U74" s="303"/>
      <c r="V74" s="303"/>
      <c r="W74" s="297"/>
      <c r="X74" s="13" t="s">
        <v>292</v>
      </c>
      <c r="Y74" s="2" t="s">
        <v>220</v>
      </c>
      <c r="Z74" s="2" t="s">
        <v>248</v>
      </c>
      <c r="AA74" s="60">
        <v>0.12</v>
      </c>
      <c r="AB74" s="60">
        <v>0.71</v>
      </c>
      <c r="AC74" s="60">
        <v>0.82</v>
      </c>
      <c r="AD74" s="60">
        <v>1</v>
      </c>
    </row>
    <row r="75" spans="1:30" s="3" customFormat="1" ht="49.5" customHeight="1" x14ac:dyDescent="0.25">
      <c r="A75" s="321"/>
      <c r="B75" s="321"/>
      <c r="C75" s="294"/>
      <c r="D75" s="78" t="s">
        <v>640</v>
      </c>
      <c r="E75" s="317"/>
      <c r="F75" s="294"/>
      <c r="G75" s="294"/>
      <c r="H75" s="301"/>
      <c r="I75" s="301"/>
      <c r="J75" s="297"/>
      <c r="K75" s="297"/>
      <c r="L75" s="297"/>
      <c r="M75" s="297"/>
      <c r="N75" s="297"/>
      <c r="O75" s="301"/>
      <c r="P75" s="301"/>
      <c r="Q75" s="301"/>
      <c r="R75" s="301"/>
      <c r="S75" s="301"/>
      <c r="T75" s="297"/>
      <c r="U75" s="303"/>
      <c r="V75" s="303"/>
      <c r="W75" s="297"/>
      <c r="X75" s="13" t="s">
        <v>293</v>
      </c>
      <c r="Y75" s="2" t="s">
        <v>82</v>
      </c>
      <c r="Z75" s="2" t="s">
        <v>72</v>
      </c>
      <c r="AA75" s="60">
        <v>1</v>
      </c>
      <c r="AB75" s="60">
        <v>1</v>
      </c>
      <c r="AC75" s="60">
        <v>1</v>
      </c>
      <c r="AD75" s="60">
        <v>1</v>
      </c>
    </row>
    <row r="76" spans="1:30" s="3" customFormat="1" ht="112.5" x14ac:dyDescent="0.25">
      <c r="A76" s="321"/>
      <c r="B76" s="321"/>
      <c r="C76" s="294"/>
      <c r="D76" s="78" t="s">
        <v>641</v>
      </c>
      <c r="E76" s="317"/>
      <c r="F76" s="294"/>
      <c r="G76" s="294" t="s">
        <v>49</v>
      </c>
      <c r="H76" s="301"/>
      <c r="I76" s="301"/>
      <c r="J76" s="297"/>
      <c r="K76" s="297"/>
      <c r="L76" s="297"/>
      <c r="M76" s="297"/>
      <c r="N76" s="297"/>
      <c r="O76" s="301"/>
      <c r="P76" s="301"/>
      <c r="Q76" s="301"/>
      <c r="R76" s="301"/>
      <c r="S76" s="301"/>
      <c r="T76" s="297"/>
      <c r="U76" s="303"/>
      <c r="V76" s="303"/>
      <c r="W76" s="297"/>
      <c r="X76" s="13" t="s">
        <v>294</v>
      </c>
      <c r="Y76" s="2" t="s">
        <v>223</v>
      </c>
      <c r="Z76" s="2" t="s">
        <v>250</v>
      </c>
      <c r="AA76" s="60">
        <v>0.18</v>
      </c>
      <c r="AB76" s="60">
        <v>0.45</v>
      </c>
      <c r="AC76" s="60">
        <v>0.8</v>
      </c>
      <c r="AD76" s="60">
        <v>1</v>
      </c>
    </row>
    <row r="77" spans="1:30" s="3" customFormat="1" ht="46.5" customHeight="1" x14ac:dyDescent="0.25">
      <c r="A77" s="321"/>
      <c r="B77" s="321"/>
      <c r="C77" s="294"/>
      <c r="D77" s="78" t="s">
        <v>643</v>
      </c>
      <c r="E77" s="317"/>
      <c r="F77" s="294"/>
      <c r="G77" s="294"/>
      <c r="H77" s="301"/>
      <c r="I77" s="301"/>
      <c r="J77" s="297"/>
      <c r="K77" s="297"/>
      <c r="L77" s="297"/>
      <c r="M77" s="297"/>
      <c r="N77" s="297"/>
      <c r="O77" s="301"/>
      <c r="P77" s="301"/>
      <c r="Q77" s="301"/>
      <c r="R77" s="301"/>
      <c r="S77" s="301"/>
      <c r="T77" s="297"/>
      <c r="U77" s="303"/>
      <c r="V77" s="303"/>
      <c r="W77" s="297"/>
      <c r="X77" s="74" t="s">
        <v>295</v>
      </c>
      <c r="Y77" s="4" t="s">
        <v>222</v>
      </c>
      <c r="Z77" s="2" t="s">
        <v>248</v>
      </c>
      <c r="AA77" s="60">
        <v>0.52</v>
      </c>
      <c r="AB77" s="60">
        <v>1</v>
      </c>
      <c r="AC77" s="60">
        <v>1</v>
      </c>
      <c r="AD77" s="60">
        <v>1</v>
      </c>
    </row>
    <row r="78" spans="1:30" s="3" customFormat="1" ht="49.5" customHeight="1" x14ac:dyDescent="0.25">
      <c r="A78" s="321"/>
      <c r="B78" s="321"/>
      <c r="C78" s="294"/>
      <c r="D78" s="78" t="s">
        <v>644</v>
      </c>
      <c r="E78" s="317"/>
      <c r="F78" s="294"/>
      <c r="G78" s="63" t="s">
        <v>16</v>
      </c>
      <c r="H78" s="301"/>
      <c r="I78" s="301"/>
      <c r="J78" s="297"/>
      <c r="K78" s="297"/>
      <c r="L78" s="297"/>
      <c r="M78" s="297"/>
      <c r="N78" s="297"/>
      <c r="O78" s="301"/>
      <c r="P78" s="301"/>
      <c r="Q78" s="301"/>
      <c r="R78" s="301"/>
      <c r="S78" s="301"/>
      <c r="T78" s="297"/>
      <c r="U78" s="303"/>
      <c r="V78" s="303"/>
      <c r="W78" s="297"/>
      <c r="X78" s="13" t="s">
        <v>296</v>
      </c>
      <c r="Y78" s="14" t="s">
        <v>219</v>
      </c>
      <c r="Z78" s="2" t="s">
        <v>70</v>
      </c>
      <c r="AA78" s="60">
        <v>0.18</v>
      </c>
      <c r="AB78" s="60">
        <v>0.22</v>
      </c>
      <c r="AC78" s="60">
        <v>0.33</v>
      </c>
      <c r="AD78" s="60">
        <v>0.46</v>
      </c>
    </row>
    <row r="79" spans="1:30" s="3" customFormat="1" ht="99.75" customHeight="1" x14ac:dyDescent="0.25">
      <c r="A79" s="321"/>
      <c r="B79" s="321"/>
      <c r="C79" s="294" t="s">
        <v>645</v>
      </c>
      <c r="D79" s="293" t="s">
        <v>646</v>
      </c>
      <c r="E79" s="317" t="s">
        <v>31</v>
      </c>
      <c r="F79" s="294" t="s">
        <v>18</v>
      </c>
      <c r="G79" s="294" t="s">
        <v>19</v>
      </c>
      <c r="H79" s="301" t="s">
        <v>50</v>
      </c>
      <c r="I79" s="301">
        <v>0</v>
      </c>
      <c r="J79" s="297">
        <v>0.25</v>
      </c>
      <c r="K79" s="297">
        <v>0.25</v>
      </c>
      <c r="L79" s="297">
        <v>0.25</v>
      </c>
      <c r="M79" s="297">
        <v>0.25</v>
      </c>
      <c r="N79" s="298">
        <v>1</v>
      </c>
      <c r="O79" s="301" t="s">
        <v>53</v>
      </c>
      <c r="P79" s="307">
        <f>0.25*30%</f>
        <v>7.4999999999999997E-2</v>
      </c>
      <c r="Q79" s="307">
        <f>0.25*56%</f>
        <v>0.14000000000000001</v>
      </c>
      <c r="R79" s="307">
        <f>0.25*68%</f>
        <v>0.17</v>
      </c>
      <c r="S79" s="307">
        <f>0.25*96%</f>
        <v>0.24</v>
      </c>
      <c r="T79" s="297" t="s">
        <v>267</v>
      </c>
      <c r="U79" s="303" t="s">
        <v>313</v>
      </c>
      <c r="V79" s="303" t="s">
        <v>598</v>
      </c>
      <c r="W79" s="297" t="s">
        <v>615</v>
      </c>
      <c r="X79" s="13" t="s">
        <v>224</v>
      </c>
      <c r="Y79" s="2" t="s">
        <v>229</v>
      </c>
      <c r="Z79" s="2" t="s">
        <v>73</v>
      </c>
      <c r="AA79" s="60">
        <v>0.36</v>
      </c>
      <c r="AB79" s="60">
        <v>0.69</v>
      </c>
      <c r="AC79" s="60">
        <v>0.69</v>
      </c>
      <c r="AD79" s="60">
        <v>0.91</v>
      </c>
    </row>
    <row r="80" spans="1:30" s="3" customFormat="1" ht="99.75" customHeight="1" x14ac:dyDescent="0.25">
      <c r="A80" s="321"/>
      <c r="B80" s="321"/>
      <c r="C80" s="294"/>
      <c r="D80" s="293"/>
      <c r="E80" s="317"/>
      <c r="F80" s="294"/>
      <c r="G80" s="294"/>
      <c r="H80" s="301"/>
      <c r="I80" s="301"/>
      <c r="J80" s="297"/>
      <c r="K80" s="297"/>
      <c r="L80" s="297"/>
      <c r="M80" s="297"/>
      <c r="N80" s="298"/>
      <c r="O80" s="301"/>
      <c r="P80" s="307"/>
      <c r="Q80" s="307"/>
      <c r="R80" s="307"/>
      <c r="S80" s="307"/>
      <c r="T80" s="297"/>
      <c r="U80" s="303"/>
      <c r="V80" s="303"/>
      <c r="W80" s="297"/>
      <c r="X80" s="13" t="s">
        <v>225</v>
      </c>
      <c r="Y80" s="2" t="s">
        <v>230</v>
      </c>
      <c r="Z80" s="2" t="s">
        <v>73</v>
      </c>
      <c r="AA80" s="60">
        <v>0.13</v>
      </c>
      <c r="AB80" s="60">
        <v>0.42</v>
      </c>
      <c r="AC80" s="60">
        <v>0.42</v>
      </c>
      <c r="AD80" s="60">
        <v>0.98</v>
      </c>
    </row>
    <row r="81" spans="1:30" s="3" customFormat="1" ht="99.75" customHeight="1" x14ac:dyDescent="0.25">
      <c r="A81" s="321"/>
      <c r="B81" s="321"/>
      <c r="C81" s="294"/>
      <c r="D81" s="293"/>
      <c r="E81" s="317"/>
      <c r="F81" s="294"/>
      <c r="G81" s="294"/>
      <c r="H81" s="301"/>
      <c r="I81" s="301"/>
      <c r="J81" s="297"/>
      <c r="K81" s="297"/>
      <c r="L81" s="297"/>
      <c r="M81" s="297"/>
      <c r="N81" s="298"/>
      <c r="O81" s="301"/>
      <c r="P81" s="307"/>
      <c r="Q81" s="307"/>
      <c r="R81" s="307"/>
      <c r="S81" s="307"/>
      <c r="T81" s="297"/>
      <c r="U81" s="303"/>
      <c r="V81" s="303"/>
      <c r="W81" s="297"/>
      <c r="X81" s="13" t="s">
        <v>226</v>
      </c>
      <c r="Y81" s="13" t="s">
        <v>231</v>
      </c>
      <c r="Z81" s="2" t="s">
        <v>73</v>
      </c>
      <c r="AA81" s="60">
        <v>0.42</v>
      </c>
      <c r="AB81" s="60">
        <v>0.67</v>
      </c>
      <c r="AC81" s="60">
        <v>0.67</v>
      </c>
      <c r="AD81" s="60">
        <v>1</v>
      </c>
    </row>
    <row r="82" spans="1:30" s="3" customFormat="1" ht="99.75" customHeight="1" x14ac:dyDescent="0.25">
      <c r="A82" s="321"/>
      <c r="B82" s="321"/>
      <c r="C82" s="294"/>
      <c r="D82" s="293"/>
      <c r="E82" s="317"/>
      <c r="F82" s="294"/>
      <c r="G82" s="294"/>
      <c r="H82" s="301"/>
      <c r="I82" s="301"/>
      <c r="J82" s="297"/>
      <c r="K82" s="297"/>
      <c r="L82" s="297"/>
      <c r="M82" s="297"/>
      <c r="N82" s="298"/>
      <c r="O82" s="301"/>
      <c r="P82" s="307"/>
      <c r="Q82" s="307"/>
      <c r="R82" s="307"/>
      <c r="S82" s="307"/>
      <c r="T82" s="297"/>
      <c r="U82" s="303"/>
      <c r="V82" s="303"/>
      <c r="W82" s="297"/>
      <c r="X82" s="13" t="s">
        <v>227</v>
      </c>
      <c r="Y82" s="2" t="s">
        <v>228</v>
      </c>
      <c r="Z82" s="2" t="s">
        <v>251</v>
      </c>
      <c r="AA82" s="60">
        <v>0.24</v>
      </c>
      <c r="AB82" s="60">
        <v>0.43</v>
      </c>
      <c r="AC82" s="60">
        <v>0.74</v>
      </c>
      <c r="AD82" s="60">
        <v>0.94</v>
      </c>
    </row>
    <row r="83" spans="1:30" s="3" customFormat="1" ht="46.5" customHeight="1" x14ac:dyDescent="0.25">
      <c r="A83" s="321"/>
      <c r="B83" s="321"/>
      <c r="C83" s="294"/>
      <c r="D83" s="293" t="s">
        <v>647</v>
      </c>
      <c r="E83" s="317"/>
      <c r="F83" s="294"/>
      <c r="G83" s="294" t="s">
        <v>20</v>
      </c>
      <c r="H83" s="301" t="s">
        <v>54</v>
      </c>
      <c r="I83" s="301">
        <v>0</v>
      </c>
      <c r="J83" s="297">
        <v>0.25</v>
      </c>
      <c r="K83" s="297">
        <v>0.25</v>
      </c>
      <c r="L83" s="297">
        <v>0.25</v>
      </c>
      <c r="M83" s="297">
        <v>0.25</v>
      </c>
      <c r="N83" s="298">
        <v>1</v>
      </c>
      <c r="O83" s="301" t="s">
        <v>55</v>
      </c>
      <c r="P83" s="307">
        <f>0.25*18%</f>
        <v>4.4999999999999998E-2</v>
      </c>
      <c r="Q83" s="307">
        <f>0.25*51%</f>
        <v>0.1275</v>
      </c>
      <c r="R83" s="307">
        <f>0.25*51%</f>
        <v>0.1275</v>
      </c>
      <c r="S83" s="307">
        <f>0.25*99%</f>
        <v>0.2475</v>
      </c>
      <c r="T83" s="297" t="s">
        <v>268</v>
      </c>
      <c r="U83" s="303" t="s">
        <v>299</v>
      </c>
      <c r="V83" s="303" t="s">
        <v>599</v>
      </c>
      <c r="W83" s="297" t="s">
        <v>616</v>
      </c>
      <c r="X83" s="13" t="s">
        <v>232</v>
      </c>
      <c r="Y83" s="2" t="s">
        <v>83</v>
      </c>
      <c r="Z83" s="2" t="s">
        <v>73</v>
      </c>
      <c r="AA83" s="60">
        <v>0.28999999999999998</v>
      </c>
      <c r="AB83" s="60">
        <v>0.62</v>
      </c>
      <c r="AC83" s="60">
        <v>0.62</v>
      </c>
      <c r="AD83" s="60">
        <v>1</v>
      </c>
    </row>
    <row r="84" spans="1:30" s="3" customFormat="1" ht="45" customHeight="1" x14ac:dyDescent="0.25">
      <c r="A84" s="321"/>
      <c r="B84" s="321"/>
      <c r="C84" s="294"/>
      <c r="D84" s="322"/>
      <c r="E84" s="317"/>
      <c r="F84" s="294"/>
      <c r="G84" s="294"/>
      <c r="H84" s="301"/>
      <c r="I84" s="301"/>
      <c r="J84" s="297"/>
      <c r="K84" s="297"/>
      <c r="L84" s="297"/>
      <c r="M84" s="297"/>
      <c r="N84" s="298"/>
      <c r="O84" s="301"/>
      <c r="P84" s="307"/>
      <c r="Q84" s="307"/>
      <c r="R84" s="307"/>
      <c r="S84" s="307"/>
      <c r="T84" s="297"/>
      <c r="U84" s="303"/>
      <c r="V84" s="303"/>
      <c r="W84" s="297"/>
      <c r="X84" s="13" t="s">
        <v>233</v>
      </c>
      <c r="Y84" s="2" t="s">
        <v>84</v>
      </c>
      <c r="Z84" s="2" t="s">
        <v>73</v>
      </c>
      <c r="AA84" s="60">
        <v>0.18</v>
      </c>
      <c r="AB84" s="60">
        <v>0.62</v>
      </c>
      <c r="AC84" s="60">
        <v>0.62</v>
      </c>
      <c r="AD84" s="60">
        <v>0.99</v>
      </c>
    </row>
    <row r="85" spans="1:30" s="3" customFormat="1" ht="51.75" customHeight="1" x14ac:dyDescent="0.25">
      <c r="A85" s="321"/>
      <c r="B85" s="321"/>
      <c r="C85" s="294"/>
      <c r="D85" s="322"/>
      <c r="E85" s="317"/>
      <c r="F85" s="294"/>
      <c r="G85" s="294" t="s">
        <v>21</v>
      </c>
      <c r="H85" s="301"/>
      <c r="I85" s="301"/>
      <c r="J85" s="297"/>
      <c r="K85" s="297"/>
      <c r="L85" s="297"/>
      <c r="M85" s="297"/>
      <c r="N85" s="298"/>
      <c r="O85" s="301"/>
      <c r="P85" s="307"/>
      <c r="Q85" s="307"/>
      <c r="R85" s="307"/>
      <c r="S85" s="307"/>
      <c r="T85" s="297"/>
      <c r="U85" s="303"/>
      <c r="V85" s="303"/>
      <c r="W85" s="297"/>
      <c r="X85" s="13" t="s">
        <v>234</v>
      </c>
      <c r="Y85" s="2" t="s">
        <v>236</v>
      </c>
      <c r="Z85" s="2" t="s">
        <v>73</v>
      </c>
      <c r="AA85" s="60">
        <v>0.12</v>
      </c>
      <c r="AB85" s="60">
        <v>0.38</v>
      </c>
      <c r="AC85" s="60">
        <v>0.38</v>
      </c>
      <c r="AD85" s="60">
        <v>1</v>
      </c>
    </row>
    <row r="86" spans="1:30" s="3" customFormat="1" ht="49.5" customHeight="1" x14ac:dyDescent="0.25">
      <c r="A86" s="321"/>
      <c r="B86" s="321"/>
      <c r="C86" s="294"/>
      <c r="D86" s="322"/>
      <c r="E86" s="317"/>
      <c r="F86" s="294"/>
      <c r="G86" s="294"/>
      <c r="H86" s="301"/>
      <c r="I86" s="301"/>
      <c r="J86" s="297"/>
      <c r="K86" s="297"/>
      <c r="L86" s="297"/>
      <c r="M86" s="297"/>
      <c r="N86" s="298"/>
      <c r="O86" s="301"/>
      <c r="P86" s="310"/>
      <c r="Q86" s="310"/>
      <c r="R86" s="310"/>
      <c r="S86" s="310"/>
      <c r="T86" s="297"/>
      <c r="U86" s="303"/>
      <c r="V86" s="303"/>
      <c r="W86" s="297"/>
      <c r="X86" s="13" t="s">
        <v>235</v>
      </c>
      <c r="Y86" s="2" t="s">
        <v>237</v>
      </c>
      <c r="Z86" s="2" t="s">
        <v>73</v>
      </c>
      <c r="AA86" s="60">
        <v>0.13</v>
      </c>
      <c r="AB86" s="60">
        <v>0.39</v>
      </c>
      <c r="AC86" s="60">
        <v>0.39</v>
      </c>
      <c r="AD86" s="60">
        <v>0.95</v>
      </c>
    </row>
    <row r="87" spans="1:30" s="3" customFormat="1" ht="104.25" customHeight="1" x14ac:dyDescent="0.25">
      <c r="A87" s="321"/>
      <c r="B87" s="321"/>
      <c r="C87" s="313" t="s">
        <v>636</v>
      </c>
      <c r="D87" s="322" t="s">
        <v>648</v>
      </c>
      <c r="E87" s="317" t="s">
        <v>31</v>
      </c>
      <c r="F87" s="294" t="s">
        <v>22</v>
      </c>
      <c r="G87" s="63" t="s">
        <v>23</v>
      </c>
      <c r="H87" s="301" t="s">
        <v>25</v>
      </c>
      <c r="I87" s="301">
        <v>0</v>
      </c>
      <c r="J87" s="297">
        <v>0.25</v>
      </c>
      <c r="K87" s="297">
        <v>0.25</v>
      </c>
      <c r="L87" s="297">
        <v>0.25</v>
      </c>
      <c r="M87" s="297">
        <v>0.25</v>
      </c>
      <c r="N87" s="298">
        <v>1</v>
      </c>
      <c r="O87" s="301" t="s">
        <v>46</v>
      </c>
      <c r="P87" s="307">
        <f>0.25*54%</f>
        <v>0.13500000000000001</v>
      </c>
      <c r="Q87" s="307">
        <f>0.25*76%</f>
        <v>0.19</v>
      </c>
      <c r="R87" s="307">
        <f>0.25*89%</f>
        <v>0.2225</v>
      </c>
      <c r="S87" s="307">
        <f>0.25*97%</f>
        <v>0.24249999999999999</v>
      </c>
      <c r="T87" s="297" t="s">
        <v>265</v>
      </c>
      <c r="U87" s="303" t="s">
        <v>297</v>
      </c>
      <c r="V87" s="303" t="s">
        <v>600</v>
      </c>
      <c r="W87" s="297" t="s">
        <v>617</v>
      </c>
      <c r="X87" s="13" t="s">
        <v>238</v>
      </c>
      <c r="Y87" s="2" t="s">
        <v>241</v>
      </c>
      <c r="Z87" s="2" t="s">
        <v>71</v>
      </c>
      <c r="AA87" s="60">
        <v>0.09</v>
      </c>
      <c r="AB87" s="60">
        <v>0.49</v>
      </c>
      <c r="AC87" s="60">
        <v>0.77</v>
      </c>
      <c r="AD87" s="60">
        <v>1</v>
      </c>
    </row>
    <row r="88" spans="1:30" s="3" customFormat="1" ht="104.25" customHeight="1" x14ac:dyDescent="0.25">
      <c r="A88" s="321"/>
      <c r="B88" s="321"/>
      <c r="C88" s="313"/>
      <c r="D88" s="322"/>
      <c r="E88" s="317"/>
      <c r="F88" s="294"/>
      <c r="G88" s="63" t="s">
        <v>51</v>
      </c>
      <c r="H88" s="301"/>
      <c r="I88" s="301"/>
      <c r="J88" s="297"/>
      <c r="K88" s="297"/>
      <c r="L88" s="297"/>
      <c r="M88" s="297"/>
      <c r="N88" s="298"/>
      <c r="O88" s="301"/>
      <c r="P88" s="307"/>
      <c r="Q88" s="307"/>
      <c r="R88" s="307"/>
      <c r="S88" s="307"/>
      <c r="T88" s="297"/>
      <c r="U88" s="303"/>
      <c r="V88" s="303"/>
      <c r="W88" s="297"/>
      <c r="X88" s="13" t="s">
        <v>239</v>
      </c>
      <c r="Y88" s="2" t="s">
        <v>85</v>
      </c>
      <c r="Z88" s="15" t="s">
        <v>71</v>
      </c>
      <c r="AA88" s="60">
        <v>0.73</v>
      </c>
      <c r="AB88" s="60">
        <v>0.93</v>
      </c>
      <c r="AC88" s="60">
        <v>0.99</v>
      </c>
      <c r="AD88" s="60">
        <v>1</v>
      </c>
    </row>
    <row r="89" spans="1:30" s="3" customFormat="1" ht="104.25" customHeight="1" x14ac:dyDescent="0.25">
      <c r="A89" s="321"/>
      <c r="B89" s="321"/>
      <c r="C89" s="313"/>
      <c r="D89" s="322"/>
      <c r="E89" s="317"/>
      <c r="F89" s="294"/>
      <c r="G89" s="63" t="s">
        <v>24</v>
      </c>
      <c r="H89" s="301"/>
      <c r="I89" s="301"/>
      <c r="J89" s="297"/>
      <c r="K89" s="297"/>
      <c r="L89" s="297"/>
      <c r="M89" s="297"/>
      <c r="N89" s="298"/>
      <c r="O89" s="301"/>
      <c r="P89" s="307"/>
      <c r="Q89" s="307"/>
      <c r="R89" s="307"/>
      <c r="S89" s="307"/>
      <c r="T89" s="297"/>
      <c r="U89" s="303"/>
      <c r="V89" s="303"/>
      <c r="W89" s="297"/>
      <c r="X89" s="319" t="s">
        <v>240</v>
      </c>
      <c r="Y89" s="305" t="s">
        <v>257</v>
      </c>
      <c r="Z89" s="305" t="s">
        <v>71</v>
      </c>
      <c r="AA89" s="318">
        <v>0.3</v>
      </c>
      <c r="AB89" s="318">
        <v>0.51</v>
      </c>
      <c r="AC89" s="318">
        <v>0.72</v>
      </c>
      <c r="AD89" s="318">
        <v>1</v>
      </c>
    </row>
    <row r="90" spans="1:30" s="3" customFormat="1" ht="104.25" customHeight="1" x14ac:dyDescent="0.25">
      <c r="A90" s="321"/>
      <c r="B90" s="321"/>
      <c r="C90" s="313"/>
      <c r="D90" s="322"/>
      <c r="E90" s="317"/>
      <c r="F90" s="294"/>
      <c r="G90" s="63" t="s">
        <v>26</v>
      </c>
      <c r="H90" s="301"/>
      <c r="I90" s="301"/>
      <c r="J90" s="297"/>
      <c r="K90" s="297"/>
      <c r="L90" s="297"/>
      <c r="M90" s="297"/>
      <c r="N90" s="298"/>
      <c r="O90" s="301"/>
      <c r="P90" s="307"/>
      <c r="Q90" s="307"/>
      <c r="R90" s="307"/>
      <c r="S90" s="307"/>
      <c r="T90" s="297"/>
      <c r="U90" s="303"/>
      <c r="V90" s="303"/>
      <c r="W90" s="297"/>
      <c r="X90" s="319"/>
      <c r="Y90" s="305"/>
      <c r="Z90" s="305"/>
      <c r="AA90" s="318"/>
      <c r="AB90" s="318"/>
      <c r="AC90" s="318"/>
      <c r="AD90" s="318"/>
    </row>
    <row r="91" spans="1:30" s="3" customFormat="1" ht="61.5" customHeight="1" x14ac:dyDescent="0.25">
      <c r="A91" s="294" t="s">
        <v>628</v>
      </c>
      <c r="B91" s="294" t="s">
        <v>629</v>
      </c>
      <c r="C91" s="294" t="s">
        <v>630</v>
      </c>
      <c r="D91" s="293" t="s">
        <v>623</v>
      </c>
      <c r="E91" s="317" t="s">
        <v>30</v>
      </c>
      <c r="F91" s="294" t="s">
        <v>27</v>
      </c>
      <c r="G91" s="63" t="s">
        <v>28</v>
      </c>
      <c r="H91" s="301" t="s">
        <v>52</v>
      </c>
      <c r="I91" s="301">
        <v>0</v>
      </c>
      <c r="J91" s="297">
        <v>0.25</v>
      </c>
      <c r="K91" s="297">
        <v>0.25</v>
      </c>
      <c r="L91" s="297">
        <v>0.25</v>
      </c>
      <c r="M91" s="297">
        <v>0.25</v>
      </c>
      <c r="N91" s="298">
        <v>1</v>
      </c>
      <c r="O91" s="301" t="s">
        <v>47</v>
      </c>
      <c r="P91" s="307">
        <f>0.25*9%</f>
        <v>2.2499999999999999E-2</v>
      </c>
      <c r="Q91" s="307">
        <f>0.25*25%</f>
        <v>6.25E-2</v>
      </c>
      <c r="R91" s="307">
        <f>0.25*33%</f>
        <v>8.2500000000000004E-2</v>
      </c>
      <c r="S91" s="307">
        <f>0.25*57%</f>
        <v>0.14249999999999999</v>
      </c>
      <c r="T91" s="297" t="s">
        <v>266</v>
      </c>
      <c r="U91" s="303" t="s">
        <v>314</v>
      </c>
      <c r="V91" s="303" t="s">
        <v>601</v>
      </c>
      <c r="W91" s="297" t="s">
        <v>618</v>
      </c>
      <c r="X91" s="13" t="s">
        <v>242</v>
      </c>
      <c r="Y91" s="13" t="s">
        <v>245</v>
      </c>
      <c r="Z91" s="2" t="s">
        <v>74</v>
      </c>
      <c r="AA91" s="60">
        <v>0.09</v>
      </c>
      <c r="AB91" s="60">
        <v>0.09</v>
      </c>
      <c r="AC91" s="60">
        <v>0.09</v>
      </c>
      <c r="AD91" s="60">
        <v>0.09</v>
      </c>
    </row>
    <row r="92" spans="1:30" s="3" customFormat="1" ht="78" customHeight="1" x14ac:dyDescent="0.25">
      <c r="A92" s="294"/>
      <c r="B92" s="294"/>
      <c r="C92" s="294"/>
      <c r="D92" s="293"/>
      <c r="E92" s="317"/>
      <c r="F92" s="294"/>
      <c r="G92" s="63"/>
      <c r="H92" s="301"/>
      <c r="I92" s="301"/>
      <c r="J92" s="297"/>
      <c r="K92" s="297"/>
      <c r="L92" s="297"/>
      <c r="M92" s="297"/>
      <c r="N92" s="298"/>
      <c r="O92" s="301"/>
      <c r="P92" s="307"/>
      <c r="Q92" s="307"/>
      <c r="R92" s="307"/>
      <c r="S92" s="307"/>
      <c r="T92" s="297"/>
      <c r="U92" s="303"/>
      <c r="V92" s="303"/>
      <c r="W92" s="297"/>
      <c r="X92" s="13" t="s">
        <v>243</v>
      </c>
      <c r="Y92" s="12" t="s">
        <v>86</v>
      </c>
      <c r="Z92" s="2" t="s">
        <v>74</v>
      </c>
      <c r="AA92" s="60">
        <v>0.74</v>
      </c>
      <c r="AB92" s="60">
        <v>0.79</v>
      </c>
      <c r="AC92" s="60">
        <v>0.78</v>
      </c>
      <c r="AD92" s="60">
        <v>1</v>
      </c>
    </row>
    <row r="93" spans="1:30" s="3" customFormat="1" ht="61.5" customHeight="1" x14ac:dyDescent="0.25">
      <c r="A93" s="294"/>
      <c r="B93" s="294"/>
      <c r="C93" s="294"/>
      <c r="D93" s="293"/>
      <c r="E93" s="317"/>
      <c r="F93" s="294"/>
      <c r="G93" s="63" t="s">
        <v>29</v>
      </c>
      <c r="H93" s="301"/>
      <c r="I93" s="301"/>
      <c r="J93" s="297"/>
      <c r="K93" s="297"/>
      <c r="L93" s="297"/>
      <c r="M93" s="297"/>
      <c r="N93" s="298"/>
      <c r="O93" s="301"/>
      <c r="P93" s="307"/>
      <c r="Q93" s="307"/>
      <c r="R93" s="307"/>
      <c r="S93" s="307"/>
      <c r="T93" s="297"/>
      <c r="U93" s="303"/>
      <c r="V93" s="303"/>
      <c r="W93" s="297"/>
      <c r="X93" s="13" t="s">
        <v>244</v>
      </c>
      <c r="Y93" s="2" t="s">
        <v>246</v>
      </c>
      <c r="Z93" s="2" t="s">
        <v>74</v>
      </c>
      <c r="AA93" s="60">
        <v>0.03</v>
      </c>
      <c r="AB93" s="60">
        <v>0.17</v>
      </c>
      <c r="AC93" s="60">
        <v>0.22</v>
      </c>
      <c r="AD93" s="60">
        <v>1</v>
      </c>
    </row>
    <row r="94" spans="1:30" s="3" customFormat="1" ht="210.75" customHeight="1" x14ac:dyDescent="0.25">
      <c r="A94" s="294"/>
      <c r="B94" s="294"/>
      <c r="C94" s="73" t="s">
        <v>633</v>
      </c>
      <c r="D94" s="85"/>
      <c r="E94" s="86" t="s">
        <v>30</v>
      </c>
      <c r="F94" s="63" t="s">
        <v>271</v>
      </c>
      <c r="G94" s="63" t="s">
        <v>272</v>
      </c>
      <c r="H94" s="65" t="s">
        <v>273</v>
      </c>
      <c r="I94" s="65">
        <v>0</v>
      </c>
      <c r="J94" s="62">
        <v>0.25</v>
      </c>
      <c r="K94" s="62">
        <v>0.25</v>
      </c>
      <c r="L94" s="62">
        <v>0.25</v>
      </c>
      <c r="M94" s="62">
        <v>0.25</v>
      </c>
      <c r="N94" s="64">
        <v>1</v>
      </c>
      <c r="O94" s="65" t="s">
        <v>274</v>
      </c>
      <c r="P94" s="64">
        <f>0.25*0%</f>
        <v>0</v>
      </c>
      <c r="Q94" s="76">
        <f>0.25*58%</f>
        <v>0.14499999999999999</v>
      </c>
      <c r="R94" s="64">
        <f>0.25*71%</f>
        <v>0.17749999999999999</v>
      </c>
      <c r="S94" s="64">
        <f>0.25*100%</f>
        <v>0.25</v>
      </c>
      <c r="T94" s="77" t="s">
        <v>279</v>
      </c>
      <c r="U94" s="61" t="s">
        <v>302</v>
      </c>
      <c r="V94" s="61" t="s">
        <v>586</v>
      </c>
      <c r="W94" s="62" t="s">
        <v>619</v>
      </c>
      <c r="X94" s="13" t="s">
        <v>278</v>
      </c>
      <c r="Y94" s="6" t="s">
        <v>276</v>
      </c>
      <c r="Z94" s="2" t="s">
        <v>275</v>
      </c>
      <c r="AA94" s="60">
        <v>0.5</v>
      </c>
      <c r="AB94" s="60">
        <v>0.67</v>
      </c>
      <c r="AC94" s="60">
        <v>0.67</v>
      </c>
      <c r="AD94" s="60">
        <v>1</v>
      </c>
    </row>
  </sheetData>
  <mergeCells count="335">
    <mergeCell ref="A1:D2"/>
    <mergeCell ref="A3:C3"/>
    <mergeCell ref="C50:C67"/>
    <mergeCell ref="B91:B94"/>
    <mergeCell ref="A91:A94"/>
    <mergeCell ref="C91:C93"/>
    <mergeCell ref="D91:D93"/>
    <mergeCell ref="B68:B90"/>
    <mergeCell ref="A68:A90"/>
    <mergeCell ref="C68:C78"/>
    <mergeCell ref="D68:D71"/>
    <mergeCell ref="D73:D74"/>
    <mergeCell ref="C79:C86"/>
    <mergeCell ref="D79:D82"/>
    <mergeCell ref="D83:D86"/>
    <mergeCell ref="C87:C90"/>
    <mergeCell ref="D87:D90"/>
    <mergeCell ref="A4:G4"/>
    <mergeCell ref="A6:A67"/>
    <mergeCell ref="B6:B67"/>
    <mergeCell ref="C6:C11"/>
    <mergeCell ref="D6:D11"/>
    <mergeCell ref="D12:D36"/>
    <mergeCell ref="C12:C36"/>
    <mergeCell ref="AD89:AD90"/>
    <mergeCell ref="M66:M67"/>
    <mergeCell ref="N66:N67"/>
    <mergeCell ref="N58:N65"/>
    <mergeCell ref="M58:M65"/>
    <mergeCell ref="AB89:AB90"/>
    <mergeCell ref="W66:W67"/>
    <mergeCell ref="U79:U82"/>
    <mergeCell ref="W79:W82"/>
    <mergeCell ref="V72:V78"/>
    <mergeCell ref="AC89:AC90"/>
    <mergeCell ref="T66:T67"/>
    <mergeCell ref="U66:U67"/>
    <mergeCell ref="R83:R86"/>
    <mergeCell ref="S83:S86"/>
    <mergeCell ref="Q83:Q86"/>
    <mergeCell ref="R72:R78"/>
    <mergeCell ref="Q72:Q78"/>
    <mergeCell ref="Q87:Q90"/>
    <mergeCell ref="R87:R90"/>
    <mergeCell ref="S87:S90"/>
    <mergeCell ref="P79:P82"/>
    <mergeCell ref="P68:P71"/>
    <mergeCell ref="R79:R82"/>
    <mergeCell ref="O6:O19"/>
    <mergeCell ref="J33:J36"/>
    <mergeCell ref="H6:H19"/>
    <mergeCell ref="V52:V57"/>
    <mergeCell ref="W72:W78"/>
    <mergeCell ref="V68:V71"/>
    <mergeCell ref="W68:W71"/>
    <mergeCell ref="T23:T24"/>
    <mergeCell ref="AA89:AA90"/>
    <mergeCell ref="T25:T26"/>
    <mergeCell ref="T29:T30"/>
    <mergeCell ref="T31:T32"/>
    <mergeCell ref="T37:T49"/>
    <mergeCell ref="U37:U49"/>
    <mergeCell ref="V37:V49"/>
    <mergeCell ref="T33:T36"/>
    <mergeCell ref="U33:U36"/>
    <mergeCell ref="V58:V65"/>
    <mergeCell ref="V66:V67"/>
    <mergeCell ref="T79:T82"/>
    <mergeCell ref="X89:X90"/>
    <mergeCell ref="T58:T65"/>
    <mergeCell ref="W50:W51"/>
    <mergeCell ref="W58:W65"/>
    <mergeCell ref="E91:E93"/>
    <mergeCell ref="E6:E67"/>
    <mergeCell ref="G79:G82"/>
    <mergeCell ref="G83:G84"/>
    <mergeCell ref="G85:G86"/>
    <mergeCell ref="E68:E78"/>
    <mergeCell ref="E79:E86"/>
    <mergeCell ref="F91:F93"/>
    <mergeCell ref="G6:G11"/>
    <mergeCell ref="G20:G22"/>
    <mergeCell ref="G23:G51"/>
    <mergeCell ref="G52:G67"/>
    <mergeCell ref="E87:E90"/>
    <mergeCell ref="P6:P19"/>
    <mergeCell ref="T52:T57"/>
    <mergeCell ref="U52:U57"/>
    <mergeCell ref="T68:T71"/>
    <mergeCell ref="U58:U65"/>
    <mergeCell ref="R58:R65"/>
    <mergeCell ref="P58:P65"/>
    <mergeCell ref="Q58:Q65"/>
    <mergeCell ref="Q68:Q71"/>
    <mergeCell ref="R68:R71"/>
    <mergeCell ref="S68:S71"/>
    <mergeCell ref="Q50:Q51"/>
    <mergeCell ref="R20:R22"/>
    <mergeCell ref="S20:S22"/>
    <mergeCell ref="U29:U30"/>
    <mergeCell ref="U31:U32"/>
    <mergeCell ref="R66:R67"/>
    <mergeCell ref="S66:S67"/>
    <mergeCell ref="Q6:Q19"/>
    <mergeCell ref="R6:R19"/>
    <mergeCell ref="S6:S19"/>
    <mergeCell ref="P37:P49"/>
    <mergeCell ref="Q37:Q49"/>
    <mergeCell ref="R27:R32"/>
    <mergeCell ref="S25:S26"/>
    <mergeCell ref="Q25:Q26"/>
    <mergeCell ref="Q27:Q32"/>
    <mergeCell ref="Q33:Q36"/>
    <mergeCell ref="S58:S65"/>
    <mergeCell ref="S79:S82"/>
    <mergeCell ref="N52:N57"/>
    <mergeCell ref="L37:L49"/>
    <mergeCell ref="M37:M49"/>
    <mergeCell ref="N37:N49"/>
    <mergeCell ref="N50:N51"/>
    <mergeCell ref="O37:O49"/>
    <mergeCell ref="S27:S32"/>
    <mergeCell ref="N33:N36"/>
    <mergeCell ref="R33:R36"/>
    <mergeCell ref="S33:S36"/>
    <mergeCell ref="R37:R49"/>
    <mergeCell ref="S50:S51"/>
    <mergeCell ref="R52:R57"/>
    <mergeCell ref="Q79:Q82"/>
    <mergeCell ref="Q66:Q67"/>
    <mergeCell ref="O27:O32"/>
    <mergeCell ref="P50:P51"/>
    <mergeCell ref="O33:O36"/>
    <mergeCell ref="U91:U93"/>
    <mergeCell ref="V91:V93"/>
    <mergeCell ref="W91:W93"/>
    <mergeCell ref="W83:W86"/>
    <mergeCell ref="T87:T90"/>
    <mergeCell ref="V83:V86"/>
    <mergeCell ref="U83:U86"/>
    <mergeCell ref="V79:V82"/>
    <mergeCell ref="E1:AC3"/>
    <mergeCell ref="F68:F78"/>
    <mergeCell ref="G76:G77"/>
    <mergeCell ref="F79:F86"/>
    <mergeCell ref="S37:S49"/>
    <mergeCell ref="U87:U90"/>
    <mergeCell ref="V87:V90"/>
    <mergeCell ref="W87:W90"/>
    <mergeCell ref="T83:T86"/>
    <mergeCell ref="G12:G19"/>
    <mergeCell ref="F87:F90"/>
    <mergeCell ref="F6:F67"/>
    <mergeCell ref="U68:U71"/>
    <mergeCell ref="T72:T78"/>
    <mergeCell ref="U72:U78"/>
    <mergeCell ref="G68:G70"/>
    <mergeCell ref="R91:R93"/>
    <mergeCell ref="T4:W4"/>
    <mergeCell ref="T20:T22"/>
    <mergeCell ref="S91:S93"/>
    <mergeCell ref="U20:U22"/>
    <mergeCell ref="V20:V22"/>
    <mergeCell ref="W20:W22"/>
    <mergeCell ref="V33:V36"/>
    <mergeCell ref="W33:W36"/>
    <mergeCell ref="U23:U24"/>
    <mergeCell ref="V23:V24"/>
    <mergeCell ref="W23:W24"/>
    <mergeCell ref="U25:U26"/>
    <mergeCell ref="V25:V26"/>
    <mergeCell ref="W25:W26"/>
    <mergeCell ref="V27:V32"/>
    <mergeCell ref="W27:W32"/>
    <mergeCell ref="W37:W49"/>
    <mergeCell ref="T50:T51"/>
    <mergeCell ref="U50:U51"/>
    <mergeCell ref="V50:V51"/>
    <mergeCell ref="S72:S78"/>
    <mergeCell ref="W52:W57"/>
    <mergeCell ref="T91:T93"/>
    <mergeCell ref="O58:O65"/>
    <mergeCell ref="P4:S4"/>
    <mergeCell ref="N68:N71"/>
    <mergeCell ref="N72:N78"/>
    <mergeCell ref="N79:N82"/>
    <mergeCell ref="N83:N86"/>
    <mergeCell ref="Q91:Q93"/>
    <mergeCell ref="P83:P86"/>
    <mergeCell ref="Q20:Q22"/>
    <mergeCell ref="N25:N26"/>
    <mergeCell ref="R50:R51"/>
    <mergeCell ref="S52:S57"/>
    <mergeCell ref="P20:P22"/>
    <mergeCell ref="P23:P24"/>
    <mergeCell ref="P25:P26"/>
    <mergeCell ref="P27:P32"/>
    <mergeCell ref="P33:P36"/>
    <mergeCell ref="Q23:Q24"/>
    <mergeCell ref="P52:P57"/>
    <mergeCell ref="R23:R24"/>
    <mergeCell ref="S23:S24"/>
    <mergeCell ref="R25:R26"/>
    <mergeCell ref="O50:O51"/>
    <mergeCell ref="O52:O57"/>
    <mergeCell ref="N87:N90"/>
    <mergeCell ref="P66:P67"/>
    <mergeCell ref="P72:P78"/>
    <mergeCell ref="O91:O93"/>
    <mergeCell ref="O72:O78"/>
    <mergeCell ref="O87:O90"/>
    <mergeCell ref="O83:O86"/>
    <mergeCell ref="I79:I82"/>
    <mergeCell ref="K79:K82"/>
    <mergeCell ref="L79:L82"/>
    <mergeCell ref="M79:M82"/>
    <mergeCell ref="I72:I78"/>
    <mergeCell ref="J72:J78"/>
    <mergeCell ref="K72:K78"/>
    <mergeCell ref="L72:L78"/>
    <mergeCell ref="N91:N93"/>
    <mergeCell ref="O66:O67"/>
    <mergeCell ref="O79:O82"/>
    <mergeCell ref="Q52:Q57"/>
    <mergeCell ref="M68:M71"/>
    <mergeCell ref="J58:J65"/>
    <mergeCell ref="I66:I67"/>
    <mergeCell ref="J66:J67"/>
    <mergeCell ref="K91:K93"/>
    <mergeCell ref="L91:L93"/>
    <mergeCell ref="M91:M93"/>
    <mergeCell ref="I83:I86"/>
    <mergeCell ref="K83:K86"/>
    <mergeCell ref="I87:I90"/>
    <mergeCell ref="J87:J90"/>
    <mergeCell ref="K87:K90"/>
    <mergeCell ref="L87:L90"/>
    <mergeCell ref="M87:M90"/>
    <mergeCell ref="J83:J86"/>
    <mergeCell ref="L83:L86"/>
    <mergeCell ref="M83:M86"/>
    <mergeCell ref="I58:I65"/>
    <mergeCell ref="O68:O71"/>
    <mergeCell ref="L58:L65"/>
    <mergeCell ref="J79:J82"/>
    <mergeCell ref="P87:P90"/>
    <mergeCell ref="P91:P93"/>
    <mergeCell ref="AA4:AD4"/>
    <mergeCell ref="X4:Z4"/>
    <mergeCell ref="H20:H22"/>
    <mergeCell ref="H23:H24"/>
    <mergeCell ref="O20:O22"/>
    <mergeCell ref="Z89:Z90"/>
    <mergeCell ref="H79:H82"/>
    <mergeCell ref="J20:J22"/>
    <mergeCell ref="G72:G75"/>
    <mergeCell ref="H25:H26"/>
    <mergeCell ref="Y89:Y90"/>
    <mergeCell ref="I23:I24"/>
    <mergeCell ref="J23:J24"/>
    <mergeCell ref="K23:K24"/>
    <mergeCell ref="I27:I32"/>
    <mergeCell ref="M50:M51"/>
    <mergeCell ref="I68:I71"/>
    <mergeCell ref="J68:J71"/>
    <mergeCell ref="K68:K71"/>
    <mergeCell ref="I20:I22"/>
    <mergeCell ref="L23:L24"/>
    <mergeCell ref="M25:M26"/>
    <mergeCell ref="I25:I26"/>
    <mergeCell ref="K50:K51"/>
    <mergeCell ref="V6:V19"/>
    <mergeCell ref="H68:H71"/>
    <mergeCell ref="H72:H78"/>
    <mergeCell ref="J50:J51"/>
    <mergeCell ref="J27:J32"/>
    <mergeCell ref="I6:I19"/>
    <mergeCell ref="H52:H57"/>
    <mergeCell ref="L50:L51"/>
    <mergeCell ref="W6:W19"/>
    <mergeCell ref="K20:K22"/>
    <mergeCell ref="L20:L22"/>
    <mergeCell ref="J25:J26"/>
    <mergeCell ref="K25:K26"/>
    <mergeCell ref="T6:T19"/>
    <mergeCell ref="U6:U19"/>
    <mergeCell ref="O23:O24"/>
    <mergeCell ref="O25:O26"/>
    <mergeCell ref="N20:N22"/>
    <mergeCell ref="H27:H32"/>
    <mergeCell ref="L25:L26"/>
    <mergeCell ref="M20:M22"/>
    <mergeCell ref="M23:M24"/>
    <mergeCell ref="L27:L32"/>
    <mergeCell ref="K58:K65"/>
    <mergeCell ref="H83:H86"/>
    <mergeCell ref="H91:H93"/>
    <mergeCell ref="H87:H90"/>
    <mergeCell ref="I91:I93"/>
    <mergeCell ref="J91:J93"/>
    <mergeCell ref="J6:J19"/>
    <mergeCell ref="H50:H51"/>
    <mergeCell ref="L68:L71"/>
    <mergeCell ref="H4:O4"/>
    <mergeCell ref="I33:I36"/>
    <mergeCell ref="I50:I51"/>
    <mergeCell ref="I52:I57"/>
    <mergeCell ref="J52:J57"/>
    <mergeCell ref="L66:L67"/>
    <mergeCell ref="K52:K57"/>
    <mergeCell ref="L52:L57"/>
    <mergeCell ref="K33:K36"/>
    <mergeCell ref="J37:J49"/>
    <mergeCell ref="M72:M78"/>
    <mergeCell ref="L33:L36"/>
    <mergeCell ref="M33:M36"/>
    <mergeCell ref="I37:I49"/>
    <mergeCell ref="K66:K67"/>
    <mergeCell ref="M52:M57"/>
    <mergeCell ref="D37:D49"/>
    <mergeCell ref="C37:C49"/>
    <mergeCell ref="D50:D67"/>
    <mergeCell ref="K6:K19"/>
    <mergeCell ref="L6:L19"/>
    <mergeCell ref="M6:M19"/>
    <mergeCell ref="N6:N19"/>
    <mergeCell ref="K27:K32"/>
    <mergeCell ref="M27:M32"/>
    <mergeCell ref="N27:N32"/>
    <mergeCell ref="H58:H65"/>
    <mergeCell ref="N23:N24"/>
    <mergeCell ref="H37:H49"/>
    <mergeCell ref="H33:H36"/>
    <mergeCell ref="K37:K49"/>
    <mergeCell ref="H66:H67"/>
  </mergeCells>
  <pageMargins left="0.7" right="0.7" top="0.75" bottom="0.75" header="0.3" footer="0.3"/>
  <pageSetup paperSize="14" scale="10" fitToHeight="0" orientation="portrait" r:id="rId1"/>
  <colBreaks count="1" manualBreakCount="1">
    <brk id="24" max="10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0"/>
  <sheetViews>
    <sheetView topLeftCell="X31" zoomScale="90" zoomScaleNormal="90" workbookViewId="0">
      <selection activeCell="X32" sqref="X32"/>
    </sheetView>
  </sheetViews>
  <sheetFormatPr baseColWidth="10" defaultRowHeight="11.25" x14ac:dyDescent="0.25"/>
  <cols>
    <col min="1" max="1" width="11.42578125" style="21"/>
    <col min="2" max="2" width="22.140625" style="21" customWidth="1"/>
    <col min="3" max="3" width="20.7109375" style="21" customWidth="1"/>
    <col min="4" max="4" width="21" style="21" customWidth="1"/>
    <col min="5" max="5" width="16.140625" style="16" customWidth="1"/>
    <col min="6" max="6" width="23.7109375" style="17" customWidth="1"/>
    <col min="7" max="7" width="23.7109375" style="18" customWidth="1"/>
    <col min="8" max="8" width="15.85546875" style="18" customWidth="1"/>
    <col min="9" max="9" width="5.140625" style="18" customWidth="1"/>
    <col min="10" max="13" width="5.140625" style="19" customWidth="1"/>
    <col min="14" max="14" width="8.5703125" style="16" customWidth="1"/>
    <col min="15" max="15" width="28.140625" style="20" customWidth="1"/>
    <col min="16" max="16" width="9.42578125" style="18" customWidth="1"/>
    <col min="17" max="17" width="9.140625" style="18" customWidth="1"/>
    <col min="18" max="18" width="9" style="18" customWidth="1"/>
    <col min="19" max="19" width="9.42578125" style="18" customWidth="1"/>
    <col min="20" max="20" width="101.28515625" style="23" customWidth="1"/>
    <col min="21" max="21" width="87.28515625" style="23" customWidth="1"/>
    <col min="22" max="22" width="90.28515625" style="23" customWidth="1"/>
    <col min="23" max="23" width="113.28515625" style="19" customWidth="1"/>
    <col min="24" max="24" width="72.5703125" style="21" customWidth="1"/>
    <col min="25" max="25" width="50.42578125" style="21" customWidth="1"/>
    <col min="26" max="26" width="14.28515625" style="21" customWidth="1"/>
    <col min="27" max="29" width="9.7109375" style="53" customWidth="1"/>
    <col min="30" max="30" width="12.140625" style="53" customWidth="1"/>
    <col min="31" max="16384" width="11.42578125" style="21"/>
  </cols>
  <sheetData>
    <row r="1" spans="1:30" s="1" customFormat="1" ht="51.75" customHeight="1" x14ac:dyDescent="0.25">
      <c r="A1" s="289" t="s">
        <v>109</v>
      </c>
      <c r="B1" s="289"/>
      <c r="C1" s="289"/>
      <c r="D1" s="289"/>
      <c r="E1" s="312" t="s">
        <v>109</v>
      </c>
      <c r="F1" s="312"/>
      <c r="G1" s="312"/>
      <c r="H1" s="312"/>
      <c r="I1" s="312"/>
      <c r="J1" s="312"/>
      <c r="K1" s="312"/>
      <c r="L1" s="312"/>
      <c r="M1" s="312"/>
      <c r="N1" s="312"/>
      <c r="O1" s="312"/>
      <c r="P1" s="312"/>
      <c r="Q1" s="312"/>
      <c r="R1" s="312"/>
      <c r="S1" s="312"/>
      <c r="T1" s="312"/>
      <c r="U1" s="312"/>
      <c r="V1" s="312"/>
      <c r="W1" s="312"/>
      <c r="X1" s="312"/>
      <c r="Y1" s="312"/>
      <c r="Z1" s="312"/>
      <c r="AA1" s="312"/>
      <c r="AB1" s="312"/>
      <c r="AC1" s="312"/>
      <c r="AD1" s="52"/>
    </row>
    <row r="2" spans="1:30" s="1" customFormat="1" ht="51.75" customHeight="1" x14ac:dyDescent="0.25">
      <c r="A2" s="289"/>
      <c r="B2" s="289"/>
      <c r="C2" s="289"/>
      <c r="D2" s="289"/>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52"/>
    </row>
    <row r="3" spans="1:30" s="1" customFormat="1" ht="45" customHeight="1" x14ac:dyDescent="0.25">
      <c r="A3" s="288" t="s">
        <v>649</v>
      </c>
      <c r="B3" s="288"/>
      <c r="C3" s="288"/>
      <c r="D3" s="89"/>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52"/>
    </row>
    <row r="4" spans="1:30" s="59" customFormat="1" ht="21" customHeight="1" x14ac:dyDescent="0.25">
      <c r="A4" s="290" t="s">
        <v>94</v>
      </c>
      <c r="B4" s="290"/>
      <c r="C4" s="290"/>
      <c r="D4" s="290"/>
      <c r="E4" s="290"/>
      <c r="F4" s="290"/>
      <c r="G4" s="290"/>
      <c r="H4" s="302" t="s">
        <v>92</v>
      </c>
      <c r="I4" s="302"/>
      <c r="J4" s="302"/>
      <c r="K4" s="302"/>
      <c r="L4" s="302"/>
      <c r="M4" s="302"/>
      <c r="N4" s="302"/>
      <c r="O4" s="302"/>
      <c r="P4" s="309" t="s">
        <v>650</v>
      </c>
      <c r="Q4" s="309"/>
      <c r="R4" s="309"/>
      <c r="S4" s="309"/>
      <c r="T4" s="309" t="s">
        <v>111</v>
      </c>
      <c r="U4" s="309"/>
      <c r="V4" s="309"/>
      <c r="W4" s="309"/>
      <c r="X4" s="304" t="s">
        <v>91</v>
      </c>
      <c r="Y4" s="304"/>
      <c r="Z4" s="304"/>
      <c r="AA4" s="304" t="s">
        <v>651</v>
      </c>
      <c r="AB4" s="304"/>
      <c r="AC4" s="304"/>
      <c r="AD4" s="304"/>
    </row>
    <row r="5" spans="1:30" s="87" customFormat="1" ht="33.75" x14ac:dyDescent="0.25">
      <c r="A5" s="136" t="s">
        <v>624</v>
      </c>
      <c r="B5" s="136" t="s">
        <v>625</v>
      </c>
      <c r="C5" s="136" t="s">
        <v>626</v>
      </c>
      <c r="D5" s="136" t="s">
        <v>627</v>
      </c>
      <c r="E5" s="137" t="s">
        <v>95</v>
      </c>
      <c r="F5" s="136" t="s">
        <v>104</v>
      </c>
      <c r="G5" s="136" t="s">
        <v>103</v>
      </c>
      <c r="H5" s="138" t="s">
        <v>102</v>
      </c>
      <c r="I5" s="138" t="s">
        <v>101</v>
      </c>
      <c r="J5" s="139" t="s">
        <v>105</v>
      </c>
      <c r="K5" s="139" t="s">
        <v>106</v>
      </c>
      <c r="L5" s="139" t="s">
        <v>107</v>
      </c>
      <c r="M5" s="139" t="s">
        <v>108</v>
      </c>
      <c r="N5" s="139" t="s">
        <v>96</v>
      </c>
      <c r="O5" s="140" t="s">
        <v>280</v>
      </c>
      <c r="P5" s="141" t="s">
        <v>88</v>
      </c>
      <c r="Q5" s="141" t="s">
        <v>100</v>
      </c>
      <c r="R5" s="141" t="s">
        <v>89</v>
      </c>
      <c r="S5" s="141" t="s">
        <v>90</v>
      </c>
      <c r="T5" s="142" t="s">
        <v>88</v>
      </c>
      <c r="U5" s="142" t="s">
        <v>100</v>
      </c>
      <c r="V5" s="142" t="s">
        <v>89</v>
      </c>
      <c r="W5" s="142" t="s">
        <v>90</v>
      </c>
      <c r="X5" s="143" t="s">
        <v>97</v>
      </c>
      <c r="Y5" s="143" t="s">
        <v>98</v>
      </c>
      <c r="Z5" s="144" t="s">
        <v>99</v>
      </c>
      <c r="AA5" s="145" t="s">
        <v>88</v>
      </c>
      <c r="AB5" s="145" t="s">
        <v>100</v>
      </c>
      <c r="AC5" s="145" t="s">
        <v>89</v>
      </c>
      <c r="AD5" s="145" t="s">
        <v>805</v>
      </c>
    </row>
    <row r="6" spans="1:30" s="3" customFormat="1" ht="32.25" customHeight="1" x14ac:dyDescent="0.25">
      <c r="A6" s="294" t="s">
        <v>628</v>
      </c>
      <c r="B6" s="323" t="s">
        <v>629</v>
      </c>
      <c r="C6" s="324" t="s">
        <v>630</v>
      </c>
      <c r="D6" s="324" t="s">
        <v>623</v>
      </c>
      <c r="E6" s="317" t="s">
        <v>30</v>
      </c>
      <c r="F6" s="294" t="s">
        <v>0</v>
      </c>
      <c r="G6" s="294" t="s">
        <v>1</v>
      </c>
      <c r="H6" s="300" t="s">
        <v>93</v>
      </c>
      <c r="I6" s="295">
        <v>0</v>
      </c>
      <c r="J6" s="295">
        <v>0.25</v>
      </c>
      <c r="K6" s="295">
        <v>0.25</v>
      </c>
      <c r="L6" s="295">
        <v>0.25</v>
      </c>
      <c r="M6" s="295">
        <v>0.25</v>
      </c>
      <c r="N6" s="296">
        <v>1</v>
      </c>
      <c r="O6" s="300" t="s">
        <v>32</v>
      </c>
      <c r="P6" s="296">
        <f>81%*0.25</f>
        <v>0.20250000000000001</v>
      </c>
      <c r="Q6" s="296">
        <f>84%*0.25</f>
        <v>0.21</v>
      </c>
      <c r="R6" s="296">
        <f>91%*25%</f>
        <v>0.22750000000000001</v>
      </c>
      <c r="S6" s="296">
        <f>99%*0.25</f>
        <v>0.2475</v>
      </c>
      <c r="T6" s="303" t="s">
        <v>665</v>
      </c>
      <c r="U6" s="303" t="s">
        <v>748</v>
      </c>
      <c r="V6" s="303" t="s">
        <v>797</v>
      </c>
      <c r="W6" s="329" t="s">
        <v>806</v>
      </c>
      <c r="X6" s="4" t="s">
        <v>652</v>
      </c>
      <c r="Y6" s="100" t="s">
        <v>129</v>
      </c>
      <c r="Z6" s="4" t="s">
        <v>69</v>
      </c>
      <c r="AA6" s="92">
        <v>1</v>
      </c>
      <c r="AB6" s="92">
        <v>1</v>
      </c>
      <c r="AC6" s="122">
        <v>1</v>
      </c>
      <c r="AD6" s="129">
        <v>1</v>
      </c>
    </row>
    <row r="7" spans="1:30" s="3" customFormat="1" ht="49.5" customHeight="1" x14ac:dyDescent="0.25">
      <c r="A7" s="294"/>
      <c r="B7" s="323"/>
      <c r="C7" s="324"/>
      <c r="D7" s="324"/>
      <c r="E7" s="317"/>
      <c r="F7" s="294"/>
      <c r="G7" s="294"/>
      <c r="H7" s="300"/>
      <c r="I7" s="295"/>
      <c r="J7" s="295"/>
      <c r="K7" s="295"/>
      <c r="L7" s="295"/>
      <c r="M7" s="295"/>
      <c r="N7" s="296"/>
      <c r="O7" s="300"/>
      <c r="P7" s="296"/>
      <c r="Q7" s="296"/>
      <c r="R7" s="296"/>
      <c r="S7" s="296"/>
      <c r="T7" s="303"/>
      <c r="U7" s="303"/>
      <c r="V7" s="303"/>
      <c r="W7" s="329"/>
      <c r="X7" s="6" t="s">
        <v>120</v>
      </c>
      <c r="Y7" s="100" t="s">
        <v>131</v>
      </c>
      <c r="Z7" s="4" t="s">
        <v>62</v>
      </c>
      <c r="AA7" s="92">
        <v>1</v>
      </c>
      <c r="AB7" s="92">
        <v>1</v>
      </c>
      <c r="AC7" s="122">
        <v>1</v>
      </c>
      <c r="AD7" s="129">
        <v>1</v>
      </c>
    </row>
    <row r="8" spans="1:30" s="3" customFormat="1" ht="56.25" customHeight="1" x14ac:dyDescent="0.25">
      <c r="A8" s="294"/>
      <c r="B8" s="323"/>
      <c r="C8" s="324"/>
      <c r="D8" s="324"/>
      <c r="E8" s="317"/>
      <c r="F8" s="294"/>
      <c r="G8" s="294"/>
      <c r="H8" s="300"/>
      <c r="I8" s="295"/>
      <c r="J8" s="295"/>
      <c r="K8" s="295"/>
      <c r="L8" s="295"/>
      <c r="M8" s="295"/>
      <c r="N8" s="296"/>
      <c r="O8" s="300"/>
      <c r="P8" s="296"/>
      <c r="Q8" s="296"/>
      <c r="R8" s="296"/>
      <c r="S8" s="296"/>
      <c r="T8" s="303"/>
      <c r="U8" s="303"/>
      <c r="V8" s="303"/>
      <c r="W8" s="329"/>
      <c r="X8" s="6" t="s">
        <v>121</v>
      </c>
      <c r="Y8" s="100" t="s">
        <v>132</v>
      </c>
      <c r="Z8" s="4" t="s">
        <v>62</v>
      </c>
      <c r="AA8" s="92">
        <v>1</v>
      </c>
      <c r="AB8" s="92">
        <v>1</v>
      </c>
      <c r="AC8" s="122">
        <v>1</v>
      </c>
      <c r="AD8" s="129">
        <v>1</v>
      </c>
    </row>
    <row r="9" spans="1:30" s="3" customFormat="1" ht="36.75" customHeight="1" x14ac:dyDescent="0.25">
      <c r="A9" s="294"/>
      <c r="B9" s="323"/>
      <c r="C9" s="324"/>
      <c r="D9" s="324"/>
      <c r="E9" s="317"/>
      <c r="F9" s="294"/>
      <c r="G9" s="294"/>
      <c r="H9" s="300"/>
      <c r="I9" s="295"/>
      <c r="J9" s="295"/>
      <c r="K9" s="295"/>
      <c r="L9" s="295"/>
      <c r="M9" s="295"/>
      <c r="N9" s="296"/>
      <c r="O9" s="300"/>
      <c r="P9" s="296"/>
      <c r="Q9" s="296"/>
      <c r="R9" s="296"/>
      <c r="S9" s="296"/>
      <c r="T9" s="303"/>
      <c r="U9" s="303"/>
      <c r="V9" s="303"/>
      <c r="W9" s="329"/>
      <c r="X9" s="6" t="s">
        <v>122</v>
      </c>
      <c r="Y9" s="100" t="s">
        <v>133</v>
      </c>
      <c r="Z9" s="4" t="s">
        <v>62</v>
      </c>
      <c r="AA9" s="92">
        <v>1</v>
      </c>
      <c r="AB9" s="92">
        <v>1</v>
      </c>
      <c r="AC9" s="122">
        <v>1</v>
      </c>
      <c r="AD9" s="129">
        <v>1</v>
      </c>
    </row>
    <row r="10" spans="1:30" s="3" customFormat="1" ht="38.25" customHeight="1" x14ac:dyDescent="0.25">
      <c r="A10" s="294"/>
      <c r="B10" s="323"/>
      <c r="C10" s="324"/>
      <c r="D10" s="324"/>
      <c r="E10" s="317"/>
      <c r="F10" s="294"/>
      <c r="G10" s="294"/>
      <c r="H10" s="300"/>
      <c r="I10" s="295"/>
      <c r="J10" s="295"/>
      <c r="K10" s="295"/>
      <c r="L10" s="295"/>
      <c r="M10" s="295"/>
      <c r="N10" s="296"/>
      <c r="O10" s="300"/>
      <c r="P10" s="296"/>
      <c r="Q10" s="296"/>
      <c r="R10" s="296"/>
      <c r="S10" s="296"/>
      <c r="T10" s="303"/>
      <c r="U10" s="303"/>
      <c r="V10" s="303"/>
      <c r="W10" s="329"/>
      <c r="X10" s="6" t="s">
        <v>123</v>
      </c>
      <c r="Y10" s="100" t="s">
        <v>134</v>
      </c>
      <c r="Z10" s="4" t="s">
        <v>62</v>
      </c>
      <c r="AA10" s="92">
        <v>1</v>
      </c>
      <c r="AB10" s="92">
        <v>1</v>
      </c>
      <c r="AC10" s="122">
        <v>1</v>
      </c>
      <c r="AD10" s="129">
        <v>1</v>
      </c>
    </row>
    <row r="11" spans="1:30" s="3" customFormat="1" ht="50.25" customHeight="1" x14ac:dyDescent="0.25">
      <c r="A11" s="294"/>
      <c r="B11" s="323"/>
      <c r="C11" s="324"/>
      <c r="D11" s="324"/>
      <c r="E11" s="317"/>
      <c r="F11" s="294"/>
      <c r="G11" s="294"/>
      <c r="H11" s="300"/>
      <c r="I11" s="295"/>
      <c r="J11" s="295"/>
      <c r="K11" s="295"/>
      <c r="L11" s="295"/>
      <c r="M11" s="295"/>
      <c r="N11" s="296"/>
      <c r="O11" s="300"/>
      <c r="P11" s="296"/>
      <c r="Q11" s="296"/>
      <c r="R11" s="296"/>
      <c r="S11" s="296"/>
      <c r="T11" s="303"/>
      <c r="U11" s="303"/>
      <c r="V11" s="303"/>
      <c r="W11" s="329"/>
      <c r="X11" s="8" t="s">
        <v>653</v>
      </c>
      <c r="Y11" s="100" t="s">
        <v>654</v>
      </c>
      <c r="Z11" s="4" t="s">
        <v>655</v>
      </c>
      <c r="AA11" s="92">
        <v>0.14000000000000001</v>
      </c>
      <c r="AB11" s="92">
        <v>0.2</v>
      </c>
      <c r="AC11" s="92">
        <v>0.61</v>
      </c>
      <c r="AD11" s="92">
        <v>1</v>
      </c>
    </row>
    <row r="12" spans="1:30" s="3" customFormat="1" ht="57" customHeight="1" x14ac:dyDescent="0.25">
      <c r="A12" s="294"/>
      <c r="B12" s="323"/>
      <c r="C12" s="357" t="s">
        <v>631</v>
      </c>
      <c r="D12" s="357" t="s">
        <v>632</v>
      </c>
      <c r="E12" s="317"/>
      <c r="F12" s="294"/>
      <c r="G12" s="313" t="s">
        <v>2</v>
      </c>
      <c r="H12" s="300"/>
      <c r="I12" s="295"/>
      <c r="J12" s="295"/>
      <c r="K12" s="295"/>
      <c r="L12" s="295"/>
      <c r="M12" s="295"/>
      <c r="N12" s="296"/>
      <c r="O12" s="300"/>
      <c r="P12" s="296"/>
      <c r="Q12" s="296"/>
      <c r="R12" s="296"/>
      <c r="S12" s="296"/>
      <c r="T12" s="303"/>
      <c r="U12" s="303"/>
      <c r="V12" s="303"/>
      <c r="W12" s="329"/>
      <c r="X12" s="6" t="s">
        <v>657</v>
      </c>
      <c r="Y12" s="55" t="s">
        <v>656</v>
      </c>
      <c r="Z12" s="4" t="s">
        <v>655</v>
      </c>
      <c r="AA12" s="92">
        <v>0.1</v>
      </c>
      <c r="AB12" s="92">
        <v>0.27</v>
      </c>
      <c r="AC12" s="92">
        <v>0.54</v>
      </c>
      <c r="AD12" s="92">
        <v>1</v>
      </c>
    </row>
    <row r="13" spans="1:30" s="3" customFormat="1" ht="81.75" customHeight="1" x14ac:dyDescent="0.25">
      <c r="A13" s="294"/>
      <c r="B13" s="323"/>
      <c r="C13" s="358"/>
      <c r="D13" s="358"/>
      <c r="E13" s="317"/>
      <c r="F13" s="294"/>
      <c r="G13" s="313"/>
      <c r="H13" s="300"/>
      <c r="I13" s="295"/>
      <c r="J13" s="295"/>
      <c r="K13" s="295"/>
      <c r="L13" s="295"/>
      <c r="M13" s="295"/>
      <c r="N13" s="296"/>
      <c r="O13" s="300"/>
      <c r="P13" s="296"/>
      <c r="Q13" s="296"/>
      <c r="R13" s="296"/>
      <c r="S13" s="296"/>
      <c r="T13" s="303"/>
      <c r="U13" s="303"/>
      <c r="V13" s="303"/>
      <c r="W13" s="329"/>
      <c r="X13" s="130" t="s">
        <v>658</v>
      </c>
      <c r="Y13" s="117" t="s">
        <v>659</v>
      </c>
      <c r="Z13" s="5" t="s">
        <v>660</v>
      </c>
      <c r="AA13" s="92">
        <v>0.28000000000000003</v>
      </c>
      <c r="AB13" s="92">
        <v>0.56000000000000005</v>
      </c>
      <c r="AC13" s="92">
        <v>0.84</v>
      </c>
      <c r="AD13" s="92">
        <v>1</v>
      </c>
    </row>
    <row r="14" spans="1:30" s="3" customFormat="1" ht="32.25" customHeight="1" x14ac:dyDescent="0.25">
      <c r="A14" s="294"/>
      <c r="B14" s="323"/>
      <c r="C14" s="358"/>
      <c r="D14" s="358"/>
      <c r="E14" s="317"/>
      <c r="F14" s="294"/>
      <c r="G14" s="313"/>
      <c r="H14" s="300"/>
      <c r="I14" s="295"/>
      <c r="J14" s="295"/>
      <c r="K14" s="295"/>
      <c r="L14" s="295"/>
      <c r="M14" s="295"/>
      <c r="N14" s="296"/>
      <c r="O14" s="300"/>
      <c r="P14" s="296"/>
      <c r="Q14" s="296"/>
      <c r="R14" s="296"/>
      <c r="S14" s="296"/>
      <c r="T14" s="303"/>
      <c r="U14" s="303"/>
      <c r="V14" s="303"/>
      <c r="W14" s="329"/>
      <c r="X14" s="130" t="s">
        <v>661</v>
      </c>
      <c r="Y14" s="117" t="s">
        <v>662</v>
      </c>
      <c r="Z14" s="5" t="s">
        <v>330</v>
      </c>
      <c r="AA14" s="92">
        <v>0.43</v>
      </c>
      <c r="AB14" s="92">
        <v>0.64</v>
      </c>
      <c r="AC14" s="92">
        <v>0.56999999999999995</v>
      </c>
      <c r="AD14" s="92">
        <v>1</v>
      </c>
    </row>
    <row r="15" spans="1:30" s="3" customFormat="1" ht="171.75" customHeight="1" x14ac:dyDescent="0.25">
      <c r="A15" s="294"/>
      <c r="B15" s="323"/>
      <c r="C15" s="358"/>
      <c r="D15" s="358"/>
      <c r="E15" s="317"/>
      <c r="F15" s="294"/>
      <c r="G15" s="313"/>
      <c r="H15" s="300"/>
      <c r="I15" s="295"/>
      <c r="J15" s="295"/>
      <c r="K15" s="295"/>
      <c r="L15" s="295"/>
      <c r="M15" s="295"/>
      <c r="N15" s="296"/>
      <c r="O15" s="300"/>
      <c r="P15" s="296"/>
      <c r="Q15" s="296"/>
      <c r="R15" s="296"/>
      <c r="S15" s="296"/>
      <c r="T15" s="303"/>
      <c r="U15" s="303"/>
      <c r="V15" s="303"/>
      <c r="W15" s="329"/>
      <c r="X15" s="130" t="s">
        <v>663</v>
      </c>
      <c r="Y15" s="117" t="s">
        <v>664</v>
      </c>
      <c r="Z15" s="5" t="s">
        <v>69</v>
      </c>
      <c r="AA15" s="92">
        <v>0.24</v>
      </c>
      <c r="AB15" s="92">
        <v>0.24</v>
      </c>
      <c r="AC15" s="120">
        <v>0.83</v>
      </c>
      <c r="AD15" s="120">
        <v>1</v>
      </c>
    </row>
    <row r="16" spans="1:30" s="3" customFormat="1" ht="57" customHeight="1" x14ac:dyDescent="0.25">
      <c r="A16" s="294"/>
      <c r="B16" s="323"/>
      <c r="C16" s="358"/>
      <c r="D16" s="358"/>
      <c r="E16" s="317"/>
      <c r="F16" s="294"/>
      <c r="G16" s="294" t="s">
        <v>3</v>
      </c>
      <c r="H16" s="301" t="s">
        <v>87</v>
      </c>
      <c r="I16" s="301">
        <v>0</v>
      </c>
      <c r="J16" s="297">
        <v>0.25</v>
      </c>
      <c r="K16" s="297">
        <v>0.25</v>
      </c>
      <c r="L16" s="297">
        <v>0.25</v>
      </c>
      <c r="M16" s="297">
        <v>0.25</v>
      </c>
      <c r="N16" s="298">
        <v>1</v>
      </c>
      <c r="O16" s="301" t="s">
        <v>33</v>
      </c>
      <c r="P16" s="296">
        <f>0.25*80%</f>
        <v>0.2</v>
      </c>
      <c r="Q16" s="296">
        <f>83%*0.25</f>
        <v>0.20749999999999999</v>
      </c>
      <c r="R16" s="296">
        <f>89%*25%</f>
        <v>0.2225</v>
      </c>
      <c r="S16" s="298">
        <f>98%*0.25</f>
        <v>0.245</v>
      </c>
      <c r="T16" s="303" t="s">
        <v>747</v>
      </c>
      <c r="U16" s="303" t="s">
        <v>763</v>
      </c>
      <c r="V16" s="303" t="s">
        <v>767</v>
      </c>
      <c r="W16" s="297" t="s">
        <v>822</v>
      </c>
      <c r="X16" s="4" t="s">
        <v>138</v>
      </c>
      <c r="Y16" s="100" t="s">
        <v>141</v>
      </c>
      <c r="Z16" s="4" t="s">
        <v>63</v>
      </c>
      <c r="AA16" s="92">
        <v>0.82</v>
      </c>
      <c r="AB16" s="92">
        <v>0.82</v>
      </c>
      <c r="AC16" s="92">
        <v>0.91</v>
      </c>
      <c r="AD16" s="92">
        <v>0.91</v>
      </c>
    </row>
    <row r="17" spans="1:30" s="3" customFormat="1" ht="40.5" customHeight="1" x14ac:dyDescent="0.25">
      <c r="A17" s="294"/>
      <c r="B17" s="323"/>
      <c r="C17" s="358"/>
      <c r="D17" s="358"/>
      <c r="E17" s="317"/>
      <c r="F17" s="294"/>
      <c r="G17" s="294"/>
      <c r="H17" s="301"/>
      <c r="I17" s="301"/>
      <c r="J17" s="297"/>
      <c r="K17" s="297"/>
      <c r="L17" s="297"/>
      <c r="M17" s="297"/>
      <c r="N17" s="298"/>
      <c r="O17" s="301"/>
      <c r="P17" s="296"/>
      <c r="Q17" s="296"/>
      <c r="R17" s="296"/>
      <c r="S17" s="298"/>
      <c r="T17" s="303"/>
      <c r="U17" s="303"/>
      <c r="V17" s="303"/>
      <c r="W17" s="297"/>
      <c r="X17" s="4" t="s">
        <v>139</v>
      </c>
      <c r="Y17" s="100" t="s">
        <v>142</v>
      </c>
      <c r="Z17" s="4" t="s">
        <v>63</v>
      </c>
      <c r="AA17" s="92">
        <v>0.86</v>
      </c>
      <c r="AB17" s="92">
        <v>0.86</v>
      </c>
      <c r="AC17" s="92">
        <v>0.89</v>
      </c>
      <c r="AD17" s="92">
        <v>1</v>
      </c>
    </row>
    <row r="18" spans="1:30" s="3" customFormat="1" ht="60" customHeight="1" x14ac:dyDescent="0.25">
      <c r="A18" s="294"/>
      <c r="B18" s="323"/>
      <c r="C18" s="358"/>
      <c r="D18" s="358"/>
      <c r="E18" s="317"/>
      <c r="F18" s="294"/>
      <c r="G18" s="294"/>
      <c r="H18" s="301"/>
      <c r="I18" s="301"/>
      <c r="J18" s="297"/>
      <c r="K18" s="297"/>
      <c r="L18" s="297"/>
      <c r="M18" s="297"/>
      <c r="N18" s="298"/>
      <c r="O18" s="301"/>
      <c r="P18" s="296"/>
      <c r="Q18" s="296"/>
      <c r="R18" s="296"/>
      <c r="S18" s="298"/>
      <c r="T18" s="303"/>
      <c r="U18" s="303"/>
      <c r="V18" s="303"/>
      <c r="W18" s="297"/>
      <c r="X18" s="4" t="s">
        <v>666</v>
      </c>
      <c r="Y18" s="100" t="s">
        <v>668</v>
      </c>
      <c r="Z18" s="4" t="s">
        <v>63</v>
      </c>
      <c r="AA18" s="92">
        <v>0.09</v>
      </c>
      <c r="AB18" s="92">
        <v>0.26</v>
      </c>
      <c r="AC18" s="92">
        <v>0.47</v>
      </c>
      <c r="AD18" s="92" t="s">
        <v>713</v>
      </c>
    </row>
    <row r="19" spans="1:30" s="3" customFormat="1" ht="31.5" customHeight="1" x14ac:dyDescent="0.25">
      <c r="A19" s="294"/>
      <c r="B19" s="323"/>
      <c r="C19" s="358"/>
      <c r="D19" s="358"/>
      <c r="E19" s="317"/>
      <c r="F19" s="294"/>
      <c r="G19" s="294"/>
      <c r="H19" s="301"/>
      <c r="I19" s="301"/>
      <c r="J19" s="297"/>
      <c r="K19" s="297"/>
      <c r="L19" s="297"/>
      <c r="M19" s="297"/>
      <c r="N19" s="298"/>
      <c r="O19" s="301"/>
      <c r="P19" s="296"/>
      <c r="Q19" s="296"/>
      <c r="R19" s="296"/>
      <c r="S19" s="298"/>
      <c r="T19" s="303"/>
      <c r="U19" s="303"/>
      <c r="V19" s="303"/>
      <c r="W19" s="297"/>
      <c r="X19" s="5" t="s">
        <v>667</v>
      </c>
      <c r="Y19" s="100" t="s">
        <v>669</v>
      </c>
      <c r="Z19" s="4" t="s">
        <v>63</v>
      </c>
      <c r="AA19" s="92">
        <v>0.23</v>
      </c>
      <c r="AB19" s="92">
        <v>0.57999999999999996</v>
      </c>
      <c r="AC19" s="92">
        <v>0.7</v>
      </c>
      <c r="AD19" s="92">
        <v>1</v>
      </c>
    </row>
    <row r="20" spans="1:30" s="3" customFormat="1" ht="89.25" customHeight="1" x14ac:dyDescent="0.25">
      <c r="A20" s="294"/>
      <c r="B20" s="323"/>
      <c r="C20" s="358"/>
      <c r="D20" s="358"/>
      <c r="E20" s="317"/>
      <c r="F20" s="294"/>
      <c r="G20" s="294" t="s">
        <v>48</v>
      </c>
      <c r="H20" s="301" t="s">
        <v>4</v>
      </c>
      <c r="I20" s="301">
        <v>0</v>
      </c>
      <c r="J20" s="297">
        <v>0.25</v>
      </c>
      <c r="K20" s="297">
        <v>0.25</v>
      </c>
      <c r="L20" s="297">
        <v>0.25</v>
      </c>
      <c r="M20" s="297">
        <v>0.25</v>
      </c>
      <c r="N20" s="298">
        <v>1</v>
      </c>
      <c r="O20" s="301" t="s">
        <v>34</v>
      </c>
      <c r="P20" s="308">
        <f>0.25*69%</f>
        <v>0.17249999999999999</v>
      </c>
      <c r="Q20" s="333">
        <f>0.25*82%</f>
        <v>0.20499999999999999</v>
      </c>
      <c r="R20" s="308">
        <f>87%*25%</f>
        <v>0.2175</v>
      </c>
      <c r="S20" s="307">
        <f>96%*0.25</f>
        <v>0.24</v>
      </c>
      <c r="T20" s="303" t="s">
        <v>672</v>
      </c>
      <c r="U20" s="303" t="s">
        <v>749</v>
      </c>
      <c r="V20" s="303" t="s">
        <v>768</v>
      </c>
      <c r="W20" s="336" t="s">
        <v>807</v>
      </c>
      <c r="X20" s="5" t="s">
        <v>145</v>
      </c>
      <c r="Y20" s="100" t="s">
        <v>147</v>
      </c>
      <c r="Z20" s="4" t="s">
        <v>64</v>
      </c>
      <c r="AA20" s="99">
        <v>0.63</v>
      </c>
      <c r="AB20" s="92">
        <v>0.82</v>
      </c>
      <c r="AC20" s="92">
        <v>0.84</v>
      </c>
      <c r="AD20" s="92">
        <v>0.84</v>
      </c>
    </row>
    <row r="21" spans="1:30" s="3" customFormat="1" ht="170.25" customHeight="1" x14ac:dyDescent="0.25">
      <c r="A21" s="294"/>
      <c r="B21" s="323"/>
      <c r="C21" s="358"/>
      <c r="D21" s="358"/>
      <c r="E21" s="317"/>
      <c r="F21" s="294"/>
      <c r="G21" s="294"/>
      <c r="H21" s="301"/>
      <c r="I21" s="301"/>
      <c r="J21" s="297"/>
      <c r="K21" s="297"/>
      <c r="L21" s="297"/>
      <c r="M21" s="297"/>
      <c r="N21" s="298"/>
      <c r="O21" s="301"/>
      <c r="P21" s="308"/>
      <c r="Q21" s="333"/>
      <c r="R21" s="308"/>
      <c r="S21" s="307"/>
      <c r="T21" s="303"/>
      <c r="U21" s="303"/>
      <c r="V21" s="303"/>
      <c r="W21" s="297"/>
      <c r="X21" s="5" t="s">
        <v>670</v>
      </c>
      <c r="Y21" s="100" t="s">
        <v>671</v>
      </c>
      <c r="Z21" s="4" t="s">
        <v>64</v>
      </c>
      <c r="AA21" s="92">
        <v>0.08</v>
      </c>
      <c r="AB21" s="92">
        <v>0.41</v>
      </c>
      <c r="AC21" s="92">
        <v>0.62</v>
      </c>
      <c r="AD21" s="92">
        <v>1</v>
      </c>
    </row>
    <row r="22" spans="1:30" s="3" customFormat="1" ht="91.5" customHeight="1" x14ac:dyDescent="0.25">
      <c r="A22" s="294"/>
      <c r="B22" s="323"/>
      <c r="C22" s="358"/>
      <c r="D22" s="358"/>
      <c r="E22" s="317"/>
      <c r="F22" s="294"/>
      <c r="G22" s="294"/>
      <c r="H22" s="95" t="s">
        <v>766</v>
      </c>
      <c r="I22" s="95">
        <v>0</v>
      </c>
      <c r="J22" s="93">
        <v>0.25</v>
      </c>
      <c r="K22" s="93">
        <v>0.25</v>
      </c>
      <c r="L22" s="93">
        <v>0.25</v>
      </c>
      <c r="M22" s="93">
        <v>0.25</v>
      </c>
      <c r="N22" s="94">
        <v>1</v>
      </c>
      <c r="O22" s="95" t="s">
        <v>35</v>
      </c>
      <c r="P22" s="98">
        <f>0.25*66%</f>
        <v>0.16500000000000001</v>
      </c>
      <c r="Q22" s="116">
        <f>0.25*34%</f>
        <v>8.5000000000000006E-2</v>
      </c>
      <c r="R22" s="123">
        <v>0.05</v>
      </c>
      <c r="S22" s="97">
        <f>50%*0.25</f>
        <v>0.125</v>
      </c>
      <c r="T22" s="96" t="s">
        <v>673</v>
      </c>
      <c r="U22" s="96" t="s">
        <v>750</v>
      </c>
      <c r="V22" s="96" t="s">
        <v>769</v>
      </c>
      <c r="W22" s="93" t="s">
        <v>810</v>
      </c>
      <c r="X22" s="5" t="s">
        <v>148</v>
      </c>
      <c r="Y22" s="100" t="s">
        <v>150</v>
      </c>
      <c r="Z22" s="4" t="s">
        <v>64</v>
      </c>
      <c r="AA22" s="99">
        <v>0.33</v>
      </c>
      <c r="AB22" s="92">
        <v>0.12</v>
      </c>
      <c r="AC22" s="92">
        <v>0.33</v>
      </c>
      <c r="AD22" s="92">
        <v>0.33</v>
      </c>
    </row>
    <row r="23" spans="1:30" s="3" customFormat="1" ht="69.75" customHeight="1" x14ac:dyDescent="0.25">
      <c r="A23" s="294"/>
      <c r="B23" s="323"/>
      <c r="C23" s="358"/>
      <c r="D23" s="358"/>
      <c r="E23" s="317"/>
      <c r="F23" s="294"/>
      <c r="G23" s="294"/>
      <c r="H23" s="300" t="s">
        <v>5</v>
      </c>
      <c r="I23" s="301">
        <v>0</v>
      </c>
      <c r="J23" s="297">
        <v>0.25</v>
      </c>
      <c r="K23" s="297">
        <v>0.25</v>
      </c>
      <c r="L23" s="297">
        <v>0.25</v>
      </c>
      <c r="M23" s="297">
        <v>0.25</v>
      </c>
      <c r="N23" s="298">
        <v>1</v>
      </c>
      <c r="O23" s="301" t="s">
        <v>36</v>
      </c>
      <c r="P23" s="308">
        <f>0.25*38%</f>
        <v>9.5000000000000001E-2</v>
      </c>
      <c r="Q23" s="308">
        <f>46%*0.25</f>
        <v>0.115</v>
      </c>
      <c r="R23" s="308">
        <f>54%*25%</f>
        <v>0.13500000000000001</v>
      </c>
      <c r="S23" s="307">
        <f>60%*0.25</f>
        <v>0.15</v>
      </c>
      <c r="T23" s="330" t="s">
        <v>677</v>
      </c>
      <c r="U23" s="332" t="s">
        <v>770</v>
      </c>
      <c r="V23" s="303" t="s">
        <v>771</v>
      </c>
      <c r="W23" s="336" t="s">
        <v>823</v>
      </c>
      <c r="X23" s="5" t="s">
        <v>808</v>
      </c>
      <c r="Y23" s="100" t="s">
        <v>159</v>
      </c>
      <c r="Z23" s="4" t="s">
        <v>65</v>
      </c>
      <c r="AA23" s="99">
        <v>0.66</v>
      </c>
      <c r="AB23" s="92">
        <v>0.69</v>
      </c>
      <c r="AC23" s="92">
        <v>1</v>
      </c>
      <c r="AD23" s="92">
        <v>1</v>
      </c>
    </row>
    <row r="24" spans="1:30" s="3" customFormat="1" ht="69.75" customHeight="1" x14ac:dyDescent="0.25">
      <c r="A24" s="294"/>
      <c r="B24" s="323"/>
      <c r="C24" s="358"/>
      <c r="D24" s="358"/>
      <c r="E24" s="317"/>
      <c r="F24" s="294"/>
      <c r="G24" s="294"/>
      <c r="H24" s="300"/>
      <c r="I24" s="301"/>
      <c r="J24" s="297"/>
      <c r="K24" s="297"/>
      <c r="L24" s="297"/>
      <c r="M24" s="297"/>
      <c r="N24" s="298"/>
      <c r="O24" s="301"/>
      <c r="P24" s="308"/>
      <c r="Q24" s="308"/>
      <c r="R24" s="308"/>
      <c r="S24" s="307"/>
      <c r="T24" s="331"/>
      <c r="U24" s="331"/>
      <c r="V24" s="303"/>
      <c r="W24" s="297"/>
      <c r="X24" s="13" t="s">
        <v>154</v>
      </c>
      <c r="Y24" s="100" t="s">
        <v>158</v>
      </c>
      <c r="Z24" s="4" t="s">
        <v>65</v>
      </c>
      <c r="AA24" s="99">
        <v>0.93</v>
      </c>
      <c r="AB24" s="92">
        <v>0.95</v>
      </c>
      <c r="AC24" s="92">
        <v>0.97</v>
      </c>
      <c r="AD24" s="92">
        <v>1</v>
      </c>
    </row>
    <row r="25" spans="1:30" s="3" customFormat="1" ht="69.75" customHeight="1" x14ac:dyDescent="0.25">
      <c r="A25" s="294"/>
      <c r="B25" s="323"/>
      <c r="C25" s="358"/>
      <c r="D25" s="358"/>
      <c r="E25" s="317"/>
      <c r="F25" s="294"/>
      <c r="G25" s="294"/>
      <c r="H25" s="300"/>
      <c r="I25" s="301"/>
      <c r="J25" s="297"/>
      <c r="K25" s="297"/>
      <c r="L25" s="297"/>
      <c r="M25" s="297"/>
      <c r="N25" s="298"/>
      <c r="O25" s="301"/>
      <c r="P25" s="308"/>
      <c r="Q25" s="308"/>
      <c r="R25" s="308"/>
      <c r="S25" s="307"/>
      <c r="T25" s="331"/>
      <c r="U25" s="331"/>
      <c r="V25" s="303"/>
      <c r="W25" s="297"/>
      <c r="X25" s="12" t="s">
        <v>156</v>
      </c>
      <c r="Y25" s="100" t="s">
        <v>281</v>
      </c>
      <c r="Z25" s="4" t="s">
        <v>65</v>
      </c>
      <c r="AA25" s="99">
        <v>0.92</v>
      </c>
      <c r="AB25" s="92">
        <v>0.94</v>
      </c>
      <c r="AC25" s="92">
        <v>1</v>
      </c>
      <c r="AD25" s="92">
        <v>1</v>
      </c>
    </row>
    <row r="26" spans="1:30" s="3" customFormat="1" ht="69.75" customHeight="1" x14ac:dyDescent="0.25">
      <c r="A26" s="294"/>
      <c r="B26" s="323"/>
      <c r="C26" s="358"/>
      <c r="D26" s="358"/>
      <c r="E26" s="317"/>
      <c r="F26" s="294"/>
      <c r="G26" s="294"/>
      <c r="H26" s="300"/>
      <c r="I26" s="301"/>
      <c r="J26" s="297"/>
      <c r="K26" s="297"/>
      <c r="L26" s="297"/>
      <c r="M26" s="297"/>
      <c r="N26" s="298"/>
      <c r="O26" s="301"/>
      <c r="P26" s="308"/>
      <c r="Q26" s="308"/>
      <c r="R26" s="308"/>
      <c r="S26" s="307"/>
      <c r="T26" s="331"/>
      <c r="U26" s="331"/>
      <c r="V26" s="303"/>
      <c r="W26" s="297"/>
      <c r="X26" s="13" t="s">
        <v>674</v>
      </c>
      <c r="Y26" s="100" t="s">
        <v>676</v>
      </c>
      <c r="Z26" s="4" t="s">
        <v>65</v>
      </c>
      <c r="AA26" s="99">
        <v>0.1</v>
      </c>
      <c r="AB26" s="92">
        <v>0.22</v>
      </c>
      <c r="AC26" s="92">
        <v>0.31</v>
      </c>
      <c r="AD26" s="92">
        <v>0.76</v>
      </c>
    </row>
    <row r="27" spans="1:30" s="3" customFormat="1" ht="409.5" customHeight="1" x14ac:dyDescent="0.25">
      <c r="A27" s="294"/>
      <c r="B27" s="323"/>
      <c r="C27" s="358"/>
      <c r="D27" s="358"/>
      <c r="E27" s="317"/>
      <c r="F27" s="294"/>
      <c r="G27" s="294"/>
      <c r="H27" s="300"/>
      <c r="I27" s="301"/>
      <c r="J27" s="297"/>
      <c r="K27" s="297"/>
      <c r="L27" s="297"/>
      <c r="M27" s="297"/>
      <c r="N27" s="298"/>
      <c r="O27" s="301"/>
      <c r="P27" s="308"/>
      <c r="Q27" s="308"/>
      <c r="R27" s="308"/>
      <c r="S27" s="307"/>
      <c r="T27" s="331"/>
      <c r="U27" s="331"/>
      <c r="V27" s="303"/>
      <c r="W27" s="297"/>
      <c r="X27" s="5" t="s">
        <v>675</v>
      </c>
      <c r="Y27" s="117" t="s">
        <v>281</v>
      </c>
      <c r="Z27" s="4" t="s">
        <v>65</v>
      </c>
      <c r="AA27" s="92">
        <v>0.09</v>
      </c>
      <c r="AB27" s="92">
        <v>0.2</v>
      </c>
      <c r="AC27" s="92">
        <v>0.3</v>
      </c>
      <c r="AD27" s="92">
        <v>0.72</v>
      </c>
    </row>
    <row r="28" spans="1:30" s="3" customFormat="1" ht="48.75" customHeight="1" x14ac:dyDescent="0.25">
      <c r="A28" s="294"/>
      <c r="B28" s="323"/>
      <c r="C28" s="358"/>
      <c r="D28" s="358"/>
      <c r="E28" s="317"/>
      <c r="F28" s="294"/>
      <c r="G28" s="294"/>
      <c r="H28" s="345" t="s">
        <v>6</v>
      </c>
      <c r="I28" s="345">
        <v>0</v>
      </c>
      <c r="J28" s="348">
        <v>0.25</v>
      </c>
      <c r="K28" s="348">
        <v>0.25</v>
      </c>
      <c r="L28" s="348">
        <v>0.25</v>
      </c>
      <c r="M28" s="348">
        <v>0.25</v>
      </c>
      <c r="N28" s="351">
        <v>1</v>
      </c>
      <c r="O28" s="345" t="s">
        <v>37</v>
      </c>
      <c r="P28" s="342">
        <f>0.25*80%</f>
        <v>0.2</v>
      </c>
      <c r="Q28" s="342">
        <f>0.25*80%</f>
        <v>0.2</v>
      </c>
      <c r="R28" s="342">
        <f>70%*25%</f>
        <v>0.17499999999999999</v>
      </c>
      <c r="S28" s="342">
        <f>88%*0.25</f>
        <v>0.22</v>
      </c>
      <c r="T28" s="332" t="s">
        <v>775</v>
      </c>
      <c r="U28" s="332" t="s">
        <v>774</v>
      </c>
      <c r="V28" s="332" t="s">
        <v>776</v>
      </c>
      <c r="W28" s="356" t="s">
        <v>811</v>
      </c>
      <c r="X28" s="13" t="s">
        <v>161</v>
      </c>
      <c r="Y28" s="100" t="s">
        <v>253</v>
      </c>
      <c r="Z28" s="4" t="s">
        <v>65</v>
      </c>
      <c r="AA28" s="92">
        <v>0.96</v>
      </c>
      <c r="AB28" s="92">
        <v>0.96</v>
      </c>
      <c r="AC28" s="92">
        <v>1</v>
      </c>
      <c r="AD28" s="92">
        <v>1</v>
      </c>
    </row>
    <row r="29" spans="1:30" s="3" customFormat="1" ht="49.5" customHeight="1" x14ac:dyDescent="0.25">
      <c r="A29" s="294"/>
      <c r="B29" s="323"/>
      <c r="C29" s="358"/>
      <c r="D29" s="358"/>
      <c r="E29" s="317"/>
      <c r="F29" s="294"/>
      <c r="G29" s="294"/>
      <c r="H29" s="346"/>
      <c r="I29" s="346"/>
      <c r="J29" s="349"/>
      <c r="K29" s="349"/>
      <c r="L29" s="349"/>
      <c r="M29" s="349"/>
      <c r="N29" s="352"/>
      <c r="O29" s="346"/>
      <c r="P29" s="343"/>
      <c r="Q29" s="343"/>
      <c r="R29" s="343"/>
      <c r="S29" s="343"/>
      <c r="T29" s="331"/>
      <c r="U29" s="331"/>
      <c r="V29" s="331"/>
      <c r="W29" s="340"/>
      <c r="X29" s="13" t="s">
        <v>162</v>
      </c>
      <c r="Y29" s="100" t="s">
        <v>270</v>
      </c>
      <c r="Z29" s="4" t="s">
        <v>65</v>
      </c>
      <c r="AA29" s="92">
        <v>0.96</v>
      </c>
      <c r="AB29" s="92">
        <v>0.96</v>
      </c>
      <c r="AC29" s="92">
        <v>1</v>
      </c>
      <c r="AD29" s="92">
        <v>1</v>
      </c>
    </row>
    <row r="30" spans="1:30" s="3" customFormat="1" ht="59.25" customHeight="1" x14ac:dyDescent="0.25">
      <c r="A30" s="294"/>
      <c r="B30" s="323"/>
      <c r="C30" s="358"/>
      <c r="D30" s="358"/>
      <c r="E30" s="317"/>
      <c r="F30" s="294"/>
      <c r="G30" s="294"/>
      <c r="H30" s="346"/>
      <c r="I30" s="346"/>
      <c r="J30" s="349"/>
      <c r="K30" s="349"/>
      <c r="L30" s="349"/>
      <c r="M30" s="349"/>
      <c r="N30" s="352"/>
      <c r="O30" s="346"/>
      <c r="P30" s="343"/>
      <c r="Q30" s="343"/>
      <c r="R30" s="343"/>
      <c r="S30" s="343"/>
      <c r="T30" s="331"/>
      <c r="U30" s="331"/>
      <c r="V30" s="331"/>
      <c r="W30" s="340"/>
      <c r="X30" s="13" t="s">
        <v>163</v>
      </c>
      <c r="Y30" s="100" t="s">
        <v>304</v>
      </c>
      <c r="Z30" s="4" t="s">
        <v>65</v>
      </c>
      <c r="AA30" s="92">
        <v>0.33</v>
      </c>
      <c r="AB30" s="92">
        <v>0.33</v>
      </c>
      <c r="AC30" s="92">
        <v>0.36</v>
      </c>
      <c r="AD30" s="92">
        <v>1</v>
      </c>
    </row>
    <row r="31" spans="1:30" s="3" customFormat="1" ht="129" customHeight="1" x14ac:dyDescent="0.25">
      <c r="A31" s="294"/>
      <c r="B31" s="323"/>
      <c r="C31" s="359"/>
      <c r="D31" s="359"/>
      <c r="E31" s="317"/>
      <c r="F31" s="294"/>
      <c r="G31" s="294"/>
      <c r="H31" s="347"/>
      <c r="I31" s="347"/>
      <c r="J31" s="350"/>
      <c r="K31" s="350"/>
      <c r="L31" s="350"/>
      <c r="M31" s="350"/>
      <c r="N31" s="353"/>
      <c r="O31" s="347"/>
      <c r="P31" s="344"/>
      <c r="Q31" s="344"/>
      <c r="R31" s="344"/>
      <c r="S31" s="344"/>
      <c r="T31" s="331"/>
      <c r="U31" s="331"/>
      <c r="V31" s="331"/>
      <c r="W31" s="341"/>
      <c r="X31" s="13" t="s">
        <v>772</v>
      </c>
      <c r="Y31" s="124" t="s">
        <v>773</v>
      </c>
      <c r="Z31" s="4" t="s">
        <v>65</v>
      </c>
      <c r="AA31" s="122">
        <v>0</v>
      </c>
      <c r="AB31" s="122">
        <v>0</v>
      </c>
      <c r="AC31" s="122">
        <v>0.4</v>
      </c>
      <c r="AD31" s="122">
        <v>0.89</v>
      </c>
    </row>
    <row r="32" spans="1:30" s="3" customFormat="1" ht="69" customHeight="1" x14ac:dyDescent="0.25">
      <c r="A32" s="294"/>
      <c r="B32" s="323"/>
      <c r="C32" s="294" t="s">
        <v>633</v>
      </c>
      <c r="D32" s="293" t="s">
        <v>634</v>
      </c>
      <c r="E32" s="317"/>
      <c r="F32" s="294"/>
      <c r="G32" s="294"/>
      <c r="H32" s="300" t="s">
        <v>7</v>
      </c>
      <c r="I32" s="300">
        <v>0</v>
      </c>
      <c r="J32" s="295">
        <v>0.25</v>
      </c>
      <c r="K32" s="295">
        <v>0.25</v>
      </c>
      <c r="L32" s="295">
        <v>0.25</v>
      </c>
      <c r="M32" s="295">
        <v>0.25</v>
      </c>
      <c r="N32" s="296">
        <v>1</v>
      </c>
      <c r="O32" s="300" t="s">
        <v>38</v>
      </c>
      <c r="P32" s="308">
        <f>0.25*43%</f>
        <v>0.1075</v>
      </c>
      <c r="Q32" s="308">
        <f>51%*0.25</f>
        <v>0.1275</v>
      </c>
      <c r="R32" s="308">
        <f>56%*25%</f>
        <v>0.14000000000000001</v>
      </c>
      <c r="S32" s="308">
        <f>65%*0.25</f>
        <v>0.16250000000000001</v>
      </c>
      <c r="T32" s="303" t="s">
        <v>746</v>
      </c>
      <c r="U32" s="303" t="s">
        <v>751</v>
      </c>
      <c r="V32" s="303" t="s">
        <v>796</v>
      </c>
      <c r="W32" s="334" t="s">
        <v>812</v>
      </c>
      <c r="X32" s="13" t="s">
        <v>169</v>
      </c>
      <c r="Y32" s="100" t="s">
        <v>75</v>
      </c>
      <c r="Z32" s="4" t="s">
        <v>65</v>
      </c>
      <c r="AA32" s="92">
        <v>0.82</v>
      </c>
      <c r="AB32" s="92">
        <v>0.82</v>
      </c>
      <c r="AC32" s="92">
        <v>0.9</v>
      </c>
      <c r="AD32" s="92">
        <v>0.9</v>
      </c>
    </row>
    <row r="33" spans="1:30" s="3" customFormat="1" ht="69" customHeight="1" x14ac:dyDescent="0.25">
      <c r="A33" s="294"/>
      <c r="B33" s="323"/>
      <c r="C33" s="294"/>
      <c r="D33" s="293"/>
      <c r="E33" s="317"/>
      <c r="F33" s="294"/>
      <c r="G33" s="294"/>
      <c r="H33" s="300"/>
      <c r="I33" s="300"/>
      <c r="J33" s="295"/>
      <c r="K33" s="295"/>
      <c r="L33" s="295"/>
      <c r="M33" s="295"/>
      <c r="N33" s="296"/>
      <c r="O33" s="300"/>
      <c r="P33" s="308"/>
      <c r="Q33" s="308"/>
      <c r="R33" s="308"/>
      <c r="S33" s="308"/>
      <c r="T33" s="303"/>
      <c r="U33" s="303"/>
      <c r="V33" s="303"/>
      <c r="W33" s="334"/>
      <c r="X33" s="13" t="s">
        <v>170</v>
      </c>
      <c r="Y33" s="100" t="s">
        <v>179</v>
      </c>
      <c r="Z33" s="4" t="s">
        <v>65</v>
      </c>
      <c r="AA33" s="92">
        <v>0.62</v>
      </c>
      <c r="AB33" s="92">
        <v>0.74</v>
      </c>
      <c r="AC33" s="92">
        <v>0.76</v>
      </c>
      <c r="AD33" s="92">
        <v>0.88</v>
      </c>
    </row>
    <row r="34" spans="1:30" s="3" customFormat="1" ht="69" customHeight="1" x14ac:dyDescent="0.25">
      <c r="A34" s="294"/>
      <c r="B34" s="323"/>
      <c r="C34" s="294"/>
      <c r="D34" s="293"/>
      <c r="E34" s="317"/>
      <c r="F34" s="294"/>
      <c r="G34" s="294"/>
      <c r="H34" s="300"/>
      <c r="I34" s="300"/>
      <c r="J34" s="295"/>
      <c r="K34" s="295"/>
      <c r="L34" s="295"/>
      <c r="M34" s="295"/>
      <c r="N34" s="296"/>
      <c r="O34" s="300"/>
      <c r="P34" s="308"/>
      <c r="Q34" s="308"/>
      <c r="R34" s="308"/>
      <c r="S34" s="308"/>
      <c r="T34" s="303"/>
      <c r="U34" s="303"/>
      <c r="V34" s="303"/>
      <c r="W34" s="334"/>
      <c r="X34" s="13" t="s">
        <v>171</v>
      </c>
      <c r="Y34" s="100" t="s">
        <v>180</v>
      </c>
      <c r="Z34" s="4" t="s">
        <v>65</v>
      </c>
      <c r="AA34" s="92">
        <v>0.93</v>
      </c>
      <c r="AB34" s="92">
        <v>0.95</v>
      </c>
      <c r="AC34" s="92">
        <v>0.97</v>
      </c>
      <c r="AD34" s="92">
        <v>1</v>
      </c>
    </row>
    <row r="35" spans="1:30" s="3" customFormat="1" ht="69" customHeight="1" x14ac:dyDescent="0.25">
      <c r="A35" s="294"/>
      <c r="B35" s="323"/>
      <c r="C35" s="294"/>
      <c r="D35" s="293"/>
      <c r="E35" s="317"/>
      <c r="F35" s="294"/>
      <c r="G35" s="294"/>
      <c r="H35" s="300"/>
      <c r="I35" s="300"/>
      <c r="J35" s="295"/>
      <c r="K35" s="295"/>
      <c r="L35" s="295"/>
      <c r="M35" s="295"/>
      <c r="N35" s="296"/>
      <c r="O35" s="300"/>
      <c r="P35" s="308"/>
      <c r="Q35" s="308"/>
      <c r="R35" s="308"/>
      <c r="S35" s="308"/>
      <c r="T35" s="303"/>
      <c r="U35" s="303"/>
      <c r="V35" s="303"/>
      <c r="W35" s="334"/>
      <c r="X35" s="13" t="s">
        <v>172</v>
      </c>
      <c r="Y35" s="100" t="s">
        <v>181</v>
      </c>
      <c r="Z35" s="4" t="s">
        <v>65</v>
      </c>
      <c r="AA35" s="92">
        <v>0.94</v>
      </c>
      <c r="AB35" s="92">
        <v>0.94</v>
      </c>
      <c r="AC35" s="92">
        <v>0.98</v>
      </c>
      <c r="AD35" s="92">
        <v>0.94</v>
      </c>
    </row>
    <row r="36" spans="1:30" s="3" customFormat="1" ht="69" customHeight="1" x14ac:dyDescent="0.25">
      <c r="A36" s="294"/>
      <c r="B36" s="323"/>
      <c r="C36" s="294"/>
      <c r="D36" s="293"/>
      <c r="E36" s="317"/>
      <c r="F36" s="294"/>
      <c r="G36" s="294"/>
      <c r="H36" s="300"/>
      <c r="I36" s="300"/>
      <c r="J36" s="295"/>
      <c r="K36" s="295"/>
      <c r="L36" s="295"/>
      <c r="M36" s="295"/>
      <c r="N36" s="296"/>
      <c r="O36" s="300"/>
      <c r="P36" s="308"/>
      <c r="Q36" s="308"/>
      <c r="R36" s="308"/>
      <c r="S36" s="308"/>
      <c r="T36" s="303"/>
      <c r="U36" s="303"/>
      <c r="V36" s="303"/>
      <c r="W36" s="334"/>
      <c r="X36" s="13" t="s">
        <v>173</v>
      </c>
      <c r="Y36" s="100" t="s">
        <v>182</v>
      </c>
      <c r="Z36" s="4" t="s">
        <v>65</v>
      </c>
      <c r="AA36" s="92">
        <v>0.95</v>
      </c>
      <c r="AB36" s="92">
        <v>0.85</v>
      </c>
      <c r="AC36" s="92">
        <v>0.89</v>
      </c>
      <c r="AD36" s="92">
        <v>1</v>
      </c>
    </row>
    <row r="37" spans="1:30" s="3" customFormat="1" ht="69" customHeight="1" x14ac:dyDescent="0.25">
      <c r="A37" s="294"/>
      <c r="B37" s="323"/>
      <c r="C37" s="294"/>
      <c r="D37" s="293"/>
      <c r="E37" s="317"/>
      <c r="F37" s="294"/>
      <c r="G37" s="294"/>
      <c r="H37" s="300"/>
      <c r="I37" s="300"/>
      <c r="J37" s="295"/>
      <c r="K37" s="295"/>
      <c r="L37" s="295"/>
      <c r="M37" s="295"/>
      <c r="N37" s="296"/>
      <c r="O37" s="300"/>
      <c r="P37" s="308"/>
      <c r="Q37" s="308"/>
      <c r="R37" s="308"/>
      <c r="S37" s="308"/>
      <c r="T37" s="303"/>
      <c r="U37" s="303"/>
      <c r="V37" s="303"/>
      <c r="W37" s="334"/>
      <c r="X37" s="13" t="s">
        <v>174</v>
      </c>
      <c r="Y37" s="100" t="s">
        <v>180</v>
      </c>
      <c r="Z37" s="4" t="s">
        <v>65</v>
      </c>
      <c r="AA37" s="92">
        <v>0.88</v>
      </c>
      <c r="AB37" s="92">
        <v>0.88</v>
      </c>
      <c r="AC37" s="92">
        <v>0.95</v>
      </c>
      <c r="AD37" s="92">
        <v>1</v>
      </c>
    </row>
    <row r="38" spans="1:30" s="3" customFormat="1" ht="69" customHeight="1" x14ac:dyDescent="0.25">
      <c r="A38" s="294"/>
      <c r="B38" s="323"/>
      <c r="C38" s="294"/>
      <c r="D38" s="293"/>
      <c r="E38" s="317"/>
      <c r="F38" s="294"/>
      <c r="G38" s="294"/>
      <c r="H38" s="300"/>
      <c r="I38" s="300"/>
      <c r="J38" s="295"/>
      <c r="K38" s="295"/>
      <c r="L38" s="295"/>
      <c r="M38" s="295"/>
      <c r="N38" s="296"/>
      <c r="O38" s="300"/>
      <c r="P38" s="308"/>
      <c r="Q38" s="308"/>
      <c r="R38" s="308"/>
      <c r="S38" s="308"/>
      <c r="T38" s="303"/>
      <c r="U38" s="303"/>
      <c r="V38" s="303"/>
      <c r="W38" s="334"/>
      <c r="X38" s="13" t="s">
        <v>175</v>
      </c>
      <c r="Y38" s="100" t="s">
        <v>183</v>
      </c>
      <c r="Z38" s="4" t="s">
        <v>65</v>
      </c>
      <c r="AA38" s="92">
        <v>0.95</v>
      </c>
      <c r="AB38" s="92">
        <v>0.93</v>
      </c>
      <c r="AC38" s="92">
        <v>0.93</v>
      </c>
      <c r="AD38" s="92">
        <v>1</v>
      </c>
    </row>
    <row r="39" spans="1:30" s="3" customFormat="1" ht="69" customHeight="1" x14ac:dyDescent="0.25">
      <c r="A39" s="294"/>
      <c r="B39" s="323"/>
      <c r="C39" s="294"/>
      <c r="D39" s="293"/>
      <c r="E39" s="317"/>
      <c r="F39" s="294"/>
      <c r="G39" s="294"/>
      <c r="H39" s="300"/>
      <c r="I39" s="300"/>
      <c r="J39" s="295"/>
      <c r="K39" s="295"/>
      <c r="L39" s="295"/>
      <c r="M39" s="295"/>
      <c r="N39" s="296"/>
      <c r="O39" s="300"/>
      <c r="P39" s="308"/>
      <c r="Q39" s="308"/>
      <c r="R39" s="308"/>
      <c r="S39" s="308"/>
      <c r="T39" s="303"/>
      <c r="U39" s="303"/>
      <c r="V39" s="303"/>
      <c r="W39" s="334"/>
      <c r="X39" s="13" t="s">
        <v>176</v>
      </c>
      <c r="Y39" s="100" t="s">
        <v>180</v>
      </c>
      <c r="Z39" s="4" t="s">
        <v>65</v>
      </c>
      <c r="AA39" s="92">
        <v>0.87</v>
      </c>
      <c r="AB39" s="92">
        <v>0.95</v>
      </c>
      <c r="AC39" s="92">
        <v>0.98</v>
      </c>
      <c r="AD39" s="92">
        <v>1</v>
      </c>
    </row>
    <row r="40" spans="1:30" s="3" customFormat="1" ht="69" customHeight="1" x14ac:dyDescent="0.25">
      <c r="A40" s="294"/>
      <c r="B40" s="323"/>
      <c r="C40" s="294"/>
      <c r="D40" s="293"/>
      <c r="E40" s="317"/>
      <c r="F40" s="294"/>
      <c r="G40" s="294"/>
      <c r="H40" s="300"/>
      <c r="I40" s="300"/>
      <c r="J40" s="295"/>
      <c r="K40" s="295"/>
      <c r="L40" s="295"/>
      <c r="M40" s="295"/>
      <c r="N40" s="296"/>
      <c r="O40" s="300"/>
      <c r="P40" s="308"/>
      <c r="Q40" s="308"/>
      <c r="R40" s="308"/>
      <c r="S40" s="308"/>
      <c r="T40" s="303"/>
      <c r="U40" s="303"/>
      <c r="V40" s="303"/>
      <c r="W40" s="334"/>
      <c r="X40" s="13" t="s">
        <v>177</v>
      </c>
      <c r="Y40" s="100" t="s">
        <v>184</v>
      </c>
      <c r="Z40" s="4" t="s">
        <v>65</v>
      </c>
      <c r="AA40" s="92">
        <v>0.88</v>
      </c>
      <c r="AB40" s="92">
        <v>0.98</v>
      </c>
      <c r="AC40" s="92">
        <v>1</v>
      </c>
      <c r="AD40" s="92">
        <v>1</v>
      </c>
    </row>
    <row r="41" spans="1:30" s="3" customFormat="1" ht="69" customHeight="1" x14ac:dyDescent="0.25">
      <c r="A41" s="294"/>
      <c r="B41" s="323"/>
      <c r="C41" s="294"/>
      <c r="D41" s="293"/>
      <c r="E41" s="317"/>
      <c r="F41" s="294"/>
      <c r="G41" s="294"/>
      <c r="H41" s="300"/>
      <c r="I41" s="300"/>
      <c r="J41" s="295"/>
      <c r="K41" s="295"/>
      <c r="L41" s="295"/>
      <c r="M41" s="295"/>
      <c r="N41" s="296"/>
      <c r="O41" s="300"/>
      <c r="P41" s="308"/>
      <c r="Q41" s="308"/>
      <c r="R41" s="308"/>
      <c r="S41" s="308"/>
      <c r="T41" s="303"/>
      <c r="U41" s="303"/>
      <c r="V41" s="303"/>
      <c r="W41" s="334"/>
      <c r="X41" s="13" t="s">
        <v>178</v>
      </c>
      <c r="Y41" s="100" t="s">
        <v>254</v>
      </c>
      <c r="Z41" s="4" t="s">
        <v>65</v>
      </c>
      <c r="AA41" s="99">
        <v>1</v>
      </c>
      <c r="AB41" s="99">
        <v>1</v>
      </c>
      <c r="AC41" s="99">
        <v>1</v>
      </c>
      <c r="AD41" s="99">
        <v>1</v>
      </c>
    </row>
    <row r="42" spans="1:30" s="3" customFormat="1" ht="69" customHeight="1" x14ac:dyDescent="0.25">
      <c r="A42" s="294"/>
      <c r="B42" s="323"/>
      <c r="C42" s="294"/>
      <c r="D42" s="293"/>
      <c r="E42" s="317"/>
      <c r="F42" s="294"/>
      <c r="G42" s="294"/>
      <c r="H42" s="300"/>
      <c r="I42" s="300"/>
      <c r="J42" s="295"/>
      <c r="K42" s="295"/>
      <c r="L42" s="295"/>
      <c r="M42" s="295"/>
      <c r="N42" s="296"/>
      <c r="O42" s="300"/>
      <c r="P42" s="308"/>
      <c r="Q42" s="308"/>
      <c r="R42" s="308"/>
      <c r="S42" s="308"/>
      <c r="T42" s="303"/>
      <c r="U42" s="303"/>
      <c r="V42" s="303"/>
      <c r="W42" s="334"/>
      <c r="X42" s="13" t="s">
        <v>678</v>
      </c>
      <c r="Y42" s="117" t="s">
        <v>254</v>
      </c>
      <c r="Z42" s="4" t="s">
        <v>65</v>
      </c>
      <c r="AA42" s="92">
        <v>0.09</v>
      </c>
      <c r="AB42" s="92">
        <v>0.2</v>
      </c>
      <c r="AC42" s="92">
        <v>0.32</v>
      </c>
      <c r="AD42" s="92">
        <v>0.99</v>
      </c>
    </row>
    <row r="43" spans="1:30" s="3" customFormat="1" ht="69" customHeight="1" x14ac:dyDescent="0.25">
      <c r="A43" s="294"/>
      <c r="B43" s="323"/>
      <c r="C43" s="294"/>
      <c r="D43" s="293"/>
      <c r="E43" s="317"/>
      <c r="F43" s="294"/>
      <c r="G43" s="294"/>
      <c r="H43" s="300"/>
      <c r="I43" s="300"/>
      <c r="J43" s="295"/>
      <c r="K43" s="295"/>
      <c r="L43" s="295"/>
      <c r="M43" s="295"/>
      <c r="N43" s="296"/>
      <c r="O43" s="300"/>
      <c r="P43" s="308"/>
      <c r="Q43" s="308"/>
      <c r="R43" s="308"/>
      <c r="S43" s="308"/>
      <c r="T43" s="303"/>
      <c r="U43" s="303"/>
      <c r="V43" s="303"/>
      <c r="W43" s="334"/>
      <c r="X43" s="13" t="s">
        <v>679</v>
      </c>
      <c r="Y43" s="117" t="s">
        <v>184</v>
      </c>
      <c r="Z43" s="4" t="s">
        <v>65</v>
      </c>
      <c r="AA43" s="92">
        <v>0.08</v>
      </c>
      <c r="AB43" s="92">
        <v>0.16</v>
      </c>
      <c r="AC43" s="92">
        <v>0.28000000000000003</v>
      </c>
      <c r="AD43" s="92">
        <v>0.94</v>
      </c>
    </row>
    <row r="44" spans="1:30" s="3" customFormat="1" ht="234.75" customHeight="1" x14ac:dyDescent="0.25">
      <c r="A44" s="294"/>
      <c r="B44" s="323"/>
      <c r="C44" s="294"/>
      <c r="D44" s="293"/>
      <c r="E44" s="317"/>
      <c r="F44" s="294"/>
      <c r="G44" s="294"/>
      <c r="H44" s="300"/>
      <c r="I44" s="300"/>
      <c r="J44" s="295"/>
      <c r="K44" s="295"/>
      <c r="L44" s="295"/>
      <c r="M44" s="295"/>
      <c r="N44" s="296"/>
      <c r="O44" s="300"/>
      <c r="P44" s="308"/>
      <c r="Q44" s="308"/>
      <c r="R44" s="308"/>
      <c r="S44" s="308"/>
      <c r="T44" s="303"/>
      <c r="U44" s="303"/>
      <c r="V44" s="303"/>
      <c r="W44" s="334"/>
      <c r="X44" s="13" t="s">
        <v>680</v>
      </c>
      <c r="Y44" s="5" t="s">
        <v>179</v>
      </c>
      <c r="Z44" s="4" t="s">
        <v>65</v>
      </c>
      <c r="AA44" s="92">
        <v>0.06</v>
      </c>
      <c r="AB44" s="92">
        <v>0.16</v>
      </c>
      <c r="AC44" s="92">
        <v>0.2</v>
      </c>
      <c r="AD44" s="92">
        <v>0.95</v>
      </c>
    </row>
    <row r="45" spans="1:30" s="3" customFormat="1" ht="69" customHeight="1" x14ac:dyDescent="0.25">
      <c r="A45" s="294"/>
      <c r="B45" s="323"/>
      <c r="C45" s="294" t="s">
        <v>631</v>
      </c>
      <c r="D45" s="293" t="s">
        <v>632</v>
      </c>
      <c r="E45" s="317"/>
      <c r="F45" s="294"/>
      <c r="G45" s="294"/>
      <c r="H45" s="301" t="s">
        <v>8</v>
      </c>
      <c r="I45" s="301">
        <v>0</v>
      </c>
      <c r="J45" s="297">
        <v>0.25</v>
      </c>
      <c r="K45" s="297">
        <v>0.25</v>
      </c>
      <c r="L45" s="297">
        <v>0.25</v>
      </c>
      <c r="M45" s="297">
        <v>0.25</v>
      </c>
      <c r="N45" s="298">
        <v>1</v>
      </c>
      <c r="O45" s="301" t="s">
        <v>39</v>
      </c>
      <c r="P45" s="308">
        <f>0.25*16%</f>
        <v>0.04</v>
      </c>
      <c r="Q45" s="308">
        <f>35%*0.25</f>
        <v>8.7499999999999994E-2</v>
      </c>
      <c r="R45" s="308">
        <f>47%*25%</f>
        <v>0.11749999999999999</v>
      </c>
      <c r="S45" s="307">
        <f>59%*0.25</f>
        <v>0.14749999999999999</v>
      </c>
      <c r="T45" s="303" t="s">
        <v>745</v>
      </c>
      <c r="U45" s="303" t="s">
        <v>752</v>
      </c>
      <c r="V45" s="303" t="s">
        <v>814</v>
      </c>
      <c r="W45" s="336" t="s">
        <v>809</v>
      </c>
      <c r="X45" s="13" t="s">
        <v>681</v>
      </c>
      <c r="Y45" s="100" t="s">
        <v>683</v>
      </c>
      <c r="Z45" s="4" t="s">
        <v>61</v>
      </c>
      <c r="AA45" s="92">
        <v>0.05</v>
      </c>
      <c r="AB45" s="92">
        <v>0.14000000000000001</v>
      </c>
      <c r="AC45" s="92">
        <v>0.25</v>
      </c>
      <c r="AD45" s="92">
        <v>0.57999999999999996</v>
      </c>
    </row>
    <row r="46" spans="1:30" s="3" customFormat="1" ht="192" customHeight="1" x14ac:dyDescent="0.25">
      <c r="A46" s="294"/>
      <c r="B46" s="323"/>
      <c r="C46" s="294"/>
      <c r="D46" s="293"/>
      <c r="E46" s="317"/>
      <c r="F46" s="294"/>
      <c r="G46" s="294"/>
      <c r="H46" s="301"/>
      <c r="I46" s="301"/>
      <c r="J46" s="297"/>
      <c r="K46" s="297"/>
      <c r="L46" s="297"/>
      <c r="M46" s="297"/>
      <c r="N46" s="298"/>
      <c r="O46" s="301"/>
      <c r="P46" s="308"/>
      <c r="Q46" s="308"/>
      <c r="R46" s="308"/>
      <c r="S46" s="307"/>
      <c r="T46" s="303"/>
      <c r="U46" s="303"/>
      <c r="V46" s="303"/>
      <c r="W46" s="297"/>
      <c r="X46" s="130" t="s">
        <v>682</v>
      </c>
      <c r="Y46" s="100" t="s">
        <v>684</v>
      </c>
      <c r="Z46" s="4" t="s">
        <v>61</v>
      </c>
      <c r="AA46" s="92">
        <v>0.06</v>
      </c>
      <c r="AB46" s="92">
        <v>0.48</v>
      </c>
      <c r="AC46" s="92">
        <v>0.67</v>
      </c>
      <c r="AD46" s="92">
        <v>1</v>
      </c>
    </row>
    <row r="47" spans="1:30" s="3" customFormat="1" ht="80.25" customHeight="1" x14ac:dyDescent="0.25">
      <c r="A47" s="294"/>
      <c r="B47" s="323"/>
      <c r="C47" s="294"/>
      <c r="D47" s="293"/>
      <c r="E47" s="317"/>
      <c r="F47" s="294"/>
      <c r="G47" s="294" t="s">
        <v>16</v>
      </c>
      <c r="H47" s="301" t="s">
        <v>9</v>
      </c>
      <c r="I47" s="301">
        <v>0</v>
      </c>
      <c r="J47" s="297">
        <v>0.25</v>
      </c>
      <c r="K47" s="297">
        <v>0.25</v>
      </c>
      <c r="L47" s="297">
        <v>0.25</v>
      </c>
      <c r="M47" s="297">
        <v>0.25</v>
      </c>
      <c r="N47" s="298">
        <v>1</v>
      </c>
      <c r="O47" s="301" t="s">
        <v>40</v>
      </c>
      <c r="P47" s="308">
        <f>59%*0.25</f>
        <v>0.14749999999999999</v>
      </c>
      <c r="Q47" s="333">
        <f>70%*0.25</f>
        <v>0.17499999999999999</v>
      </c>
      <c r="R47" s="308">
        <f>87%*25%</f>
        <v>0.2175</v>
      </c>
      <c r="S47" s="307">
        <f>87%*0.25</f>
        <v>0.2175</v>
      </c>
      <c r="T47" s="303" t="s">
        <v>744</v>
      </c>
      <c r="U47" s="303" t="s">
        <v>753</v>
      </c>
      <c r="V47" s="303" t="s">
        <v>813</v>
      </c>
      <c r="W47" s="335" t="s">
        <v>815</v>
      </c>
      <c r="X47" s="13" t="s">
        <v>188</v>
      </c>
      <c r="Y47" s="100" t="s">
        <v>255</v>
      </c>
      <c r="Z47" s="4" t="s">
        <v>67</v>
      </c>
      <c r="AA47" s="92">
        <v>1</v>
      </c>
      <c r="AB47" s="92">
        <v>1</v>
      </c>
      <c r="AC47" s="92">
        <v>1</v>
      </c>
      <c r="AD47" s="92">
        <v>1</v>
      </c>
    </row>
    <row r="48" spans="1:30" s="3" customFormat="1" ht="88.5" customHeight="1" x14ac:dyDescent="0.25">
      <c r="A48" s="294"/>
      <c r="B48" s="323"/>
      <c r="C48" s="294"/>
      <c r="D48" s="293"/>
      <c r="E48" s="317"/>
      <c r="F48" s="294"/>
      <c r="G48" s="294"/>
      <c r="H48" s="301"/>
      <c r="I48" s="301"/>
      <c r="J48" s="297"/>
      <c r="K48" s="297"/>
      <c r="L48" s="297"/>
      <c r="M48" s="297"/>
      <c r="N48" s="298"/>
      <c r="O48" s="301"/>
      <c r="P48" s="308"/>
      <c r="Q48" s="333"/>
      <c r="R48" s="308"/>
      <c r="S48" s="307"/>
      <c r="T48" s="303"/>
      <c r="U48" s="303"/>
      <c r="V48" s="303"/>
      <c r="W48" s="303"/>
      <c r="X48" s="13" t="s">
        <v>191</v>
      </c>
      <c r="Y48" s="100" t="s">
        <v>255</v>
      </c>
      <c r="Z48" s="4" t="s">
        <v>67</v>
      </c>
      <c r="AA48" s="92">
        <v>0.97</v>
      </c>
      <c r="AB48" s="92">
        <v>0.97</v>
      </c>
      <c r="AC48" s="92">
        <v>0.97</v>
      </c>
      <c r="AD48" s="92">
        <v>0.99</v>
      </c>
    </row>
    <row r="49" spans="1:31" s="3" customFormat="1" ht="65.25" customHeight="1" x14ac:dyDescent="0.25">
      <c r="A49" s="294"/>
      <c r="B49" s="323"/>
      <c r="C49" s="294"/>
      <c r="D49" s="293"/>
      <c r="E49" s="317"/>
      <c r="F49" s="294"/>
      <c r="G49" s="294"/>
      <c r="H49" s="301"/>
      <c r="I49" s="301"/>
      <c r="J49" s="297"/>
      <c r="K49" s="297"/>
      <c r="L49" s="297"/>
      <c r="M49" s="297"/>
      <c r="N49" s="298"/>
      <c r="O49" s="301"/>
      <c r="P49" s="308"/>
      <c r="Q49" s="333"/>
      <c r="R49" s="308"/>
      <c r="S49" s="307"/>
      <c r="T49" s="303"/>
      <c r="U49" s="303"/>
      <c r="V49" s="303"/>
      <c r="W49" s="303"/>
      <c r="X49" s="13" t="s">
        <v>193</v>
      </c>
      <c r="Y49" s="100" t="s">
        <v>194</v>
      </c>
      <c r="Z49" s="4" t="s">
        <v>66</v>
      </c>
      <c r="AA49" s="92">
        <v>0.33</v>
      </c>
      <c r="AB49" s="92">
        <v>0.76</v>
      </c>
      <c r="AC49" s="120">
        <v>1</v>
      </c>
      <c r="AD49" s="92">
        <v>1</v>
      </c>
    </row>
    <row r="50" spans="1:31" s="3" customFormat="1" ht="70.5" customHeight="1" x14ac:dyDescent="0.25">
      <c r="A50" s="294"/>
      <c r="B50" s="323"/>
      <c r="C50" s="294"/>
      <c r="D50" s="293"/>
      <c r="E50" s="317"/>
      <c r="F50" s="294"/>
      <c r="G50" s="294"/>
      <c r="H50" s="301"/>
      <c r="I50" s="301"/>
      <c r="J50" s="297"/>
      <c r="K50" s="297"/>
      <c r="L50" s="297"/>
      <c r="M50" s="297"/>
      <c r="N50" s="298"/>
      <c r="O50" s="301"/>
      <c r="P50" s="308"/>
      <c r="Q50" s="333"/>
      <c r="R50" s="308"/>
      <c r="S50" s="307"/>
      <c r="T50" s="303"/>
      <c r="U50" s="303"/>
      <c r="V50" s="303"/>
      <c r="W50" s="303"/>
      <c r="X50" s="13" t="s">
        <v>685</v>
      </c>
      <c r="Y50" s="100" t="s">
        <v>77</v>
      </c>
      <c r="Z50" s="4" t="s">
        <v>64</v>
      </c>
      <c r="AA50" s="92">
        <v>0.12</v>
      </c>
      <c r="AB50" s="92">
        <v>0.55000000000000004</v>
      </c>
      <c r="AC50" s="92">
        <v>0.93</v>
      </c>
      <c r="AD50" s="92">
        <v>1</v>
      </c>
    </row>
    <row r="51" spans="1:31" s="3" customFormat="1" ht="78.75" customHeight="1" x14ac:dyDescent="0.25">
      <c r="A51" s="294"/>
      <c r="B51" s="323"/>
      <c r="C51" s="294"/>
      <c r="D51" s="293"/>
      <c r="E51" s="317"/>
      <c r="F51" s="294"/>
      <c r="G51" s="294"/>
      <c r="H51" s="301"/>
      <c r="I51" s="301"/>
      <c r="J51" s="297"/>
      <c r="K51" s="297"/>
      <c r="L51" s="297"/>
      <c r="M51" s="297"/>
      <c r="N51" s="298"/>
      <c r="O51" s="301"/>
      <c r="P51" s="308"/>
      <c r="Q51" s="333"/>
      <c r="R51" s="308"/>
      <c r="S51" s="307"/>
      <c r="T51" s="303"/>
      <c r="U51" s="303"/>
      <c r="V51" s="303"/>
      <c r="W51" s="303"/>
      <c r="X51" s="13" t="s">
        <v>686</v>
      </c>
      <c r="Y51" s="100" t="s">
        <v>255</v>
      </c>
      <c r="Z51" s="4" t="s">
        <v>67</v>
      </c>
      <c r="AA51" s="92">
        <v>0.09</v>
      </c>
      <c r="AB51" s="92">
        <v>0.25</v>
      </c>
      <c r="AC51" s="92">
        <v>0.65</v>
      </c>
      <c r="AD51" s="92">
        <v>1</v>
      </c>
    </row>
    <row r="52" spans="1:31" s="3" customFormat="1" ht="63.75" customHeight="1" x14ac:dyDescent="0.25">
      <c r="A52" s="294"/>
      <c r="B52" s="323"/>
      <c r="C52" s="294"/>
      <c r="D52" s="293"/>
      <c r="E52" s="317"/>
      <c r="F52" s="294"/>
      <c r="G52" s="294"/>
      <c r="H52" s="301"/>
      <c r="I52" s="301"/>
      <c r="J52" s="297"/>
      <c r="K52" s="297"/>
      <c r="L52" s="297"/>
      <c r="M52" s="297"/>
      <c r="N52" s="298"/>
      <c r="O52" s="301"/>
      <c r="P52" s="308"/>
      <c r="Q52" s="333"/>
      <c r="R52" s="308"/>
      <c r="S52" s="307"/>
      <c r="T52" s="303"/>
      <c r="U52" s="303"/>
      <c r="V52" s="303"/>
      <c r="W52" s="303"/>
      <c r="X52" s="13" t="s">
        <v>687</v>
      </c>
      <c r="Y52" s="100" t="s">
        <v>194</v>
      </c>
      <c r="Z52" s="4" t="s">
        <v>66</v>
      </c>
      <c r="AA52" s="92">
        <v>0.22</v>
      </c>
      <c r="AB52" s="92">
        <v>0.21</v>
      </c>
      <c r="AC52" s="120">
        <v>0.46</v>
      </c>
      <c r="AD52" s="92">
        <v>0.92</v>
      </c>
    </row>
    <row r="53" spans="1:31" s="56" customFormat="1" ht="50.25" customHeight="1" x14ac:dyDescent="0.25">
      <c r="A53" s="294"/>
      <c r="B53" s="323"/>
      <c r="C53" s="294"/>
      <c r="D53" s="293"/>
      <c r="E53" s="317"/>
      <c r="F53" s="294"/>
      <c r="G53" s="294"/>
      <c r="H53" s="345" t="s">
        <v>41</v>
      </c>
      <c r="I53" s="345">
        <v>0</v>
      </c>
      <c r="J53" s="348">
        <v>0.25</v>
      </c>
      <c r="K53" s="348">
        <v>0.25</v>
      </c>
      <c r="L53" s="348">
        <v>0.25</v>
      </c>
      <c r="M53" s="348">
        <v>0.25</v>
      </c>
      <c r="N53" s="351">
        <v>1</v>
      </c>
      <c r="O53" s="345" t="s">
        <v>42</v>
      </c>
      <c r="P53" s="342">
        <f>0.25*45%</f>
        <v>0.1125</v>
      </c>
      <c r="Q53" s="342">
        <f>58%*0.25</f>
        <v>0.14499999999999999</v>
      </c>
      <c r="R53" s="342">
        <f>71%*25%</f>
        <v>0.17749999999999999</v>
      </c>
      <c r="S53" s="342">
        <f>84%*0.25</f>
        <v>0.21</v>
      </c>
      <c r="T53" s="330" t="s">
        <v>729</v>
      </c>
      <c r="U53" s="330" t="s">
        <v>764</v>
      </c>
      <c r="V53" s="330" t="s">
        <v>798</v>
      </c>
      <c r="W53" s="339" t="s">
        <v>816</v>
      </c>
      <c r="X53" s="54" t="s">
        <v>728</v>
      </c>
      <c r="Y53" s="100" t="s">
        <v>730</v>
      </c>
      <c r="Z53" s="100" t="s">
        <v>732</v>
      </c>
      <c r="AA53" s="113">
        <v>0.51</v>
      </c>
      <c r="AB53" s="121">
        <v>0.75</v>
      </c>
      <c r="AC53" s="126">
        <v>0.97</v>
      </c>
      <c r="AD53" s="135">
        <v>1</v>
      </c>
      <c r="AE53" s="3"/>
    </row>
    <row r="54" spans="1:31" s="56" customFormat="1" ht="50.25" customHeight="1" x14ac:dyDescent="0.25">
      <c r="A54" s="294"/>
      <c r="B54" s="323"/>
      <c r="C54" s="294"/>
      <c r="D54" s="293"/>
      <c r="E54" s="317"/>
      <c r="F54" s="294"/>
      <c r="G54" s="294"/>
      <c r="H54" s="346"/>
      <c r="I54" s="346"/>
      <c r="J54" s="349"/>
      <c r="K54" s="349"/>
      <c r="L54" s="349"/>
      <c r="M54" s="349"/>
      <c r="N54" s="352"/>
      <c r="O54" s="346"/>
      <c r="P54" s="343"/>
      <c r="Q54" s="343"/>
      <c r="R54" s="343"/>
      <c r="S54" s="343"/>
      <c r="T54" s="331"/>
      <c r="U54" s="331"/>
      <c r="V54" s="331"/>
      <c r="W54" s="340"/>
      <c r="X54" s="54" t="s">
        <v>717</v>
      </c>
      <c r="Y54" s="100" t="s">
        <v>731</v>
      </c>
      <c r="Z54" s="100" t="s">
        <v>655</v>
      </c>
      <c r="AA54" s="113">
        <v>0</v>
      </c>
      <c r="AB54" s="121">
        <v>0.02</v>
      </c>
      <c r="AC54" s="126">
        <v>0.3</v>
      </c>
      <c r="AD54" s="135">
        <v>1</v>
      </c>
      <c r="AE54" s="3"/>
    </row>
    <row r="55" spans="1:31" s="56" customFormat="1" ht="50.25" customHeight="1" x14ac:dyDescent="0.25">
      <c r="A55" s="294"/>
      <c r="B55" s="323"/>
      <c r="C55" s="294"/>
      <c r="D55" s="293"/>
      <c r="E55" s="317"/>
      <c r="F55" s="294"/>
      <c r="G55" s="294"/>
      <c r="H55" s="346"/>
      <c r="I55" s="346"/>
      <c r="J55" s="349"/>
      <c r="K55" s="349"/>
      <c r="L55" s="349"/>
      <c r="M55" s="349"/>
      <c r="N55" s="352"/>
      <c r="O55" s="346"/>
      <c r="P55" s="343"/>
      <c r="Q55" s="343"/>
      <c r="R55" s="343"/>
      <c r="S55" s="343"/>
      <c r="T55" s="331"/>
      <c r="U55" s="331"/>
      <c r="V55" s="331"/>
      <c r="W55" s="340"/>
      <c r="X55" s="54" t="s">
        <v>718</v>
      </c>
      <c r="Y55" s="100" t="s">
        <v>733</v>
      </c>
      <c r="Z55" s="100" t="s">
        <v>655</v>
      </c>
      <c r="AA55" s="113">
        <v>0.44</v>
      </c>
      <c r="AB55" s="121">
        <v>0.56999999999999995</v>
      </c>
      <c r="AC55" s="126">
        <v>0.83</v>
      </c>
      <c r="AD55" s="135">
        <v>1</v>
      </c>
      <c r="AE55" s="3"/>
    </row>
    <row r="56" spans="1:31" s="56" customFormat="1" ht="62.25" customHeight="1" x14ac:dyDescent="0.25">
      <c r="A56" s="294"/>
      <c r="B56" s="323"/>
      <c r="C56" s="294"/>
      <c r="D56" s="293"/>
      <c r="E56" s="317"/>
      <c r="F56" s="294"/>
      <c r="G56" s="294"/>
      <c r="H56" s="346"/>
      <c r="I56" s="346"/>
      <c r="J56" s="349"/>
      <c r="K56" s="349"/>
      <c r="L56" s="349"/>
      <c r="M56" s="349"/>
      <c r="N56" s="352"/>
      <c r="O56" s="346"/>
      <c r="P56" s="343"/>
      <c r="Q56" s="343"/>
      <c r="R56" s="343"/>
      <c r="S56" s="343"/>
      <c r="T56" s="331"/>
      <c r="U56" s="331"/>
      <c r="V56" s="331"/>
      <c r="W56" s="340"/>
      <c r="X56" s="54" t="s">
        <v>719</v>
      </c>
      <c r="Y56" s="100" t="s">
        <v>734</v>
      </c>
      <c r="Z56" s="100" t="s">
        <v>735</v>
      </c>
      <c r="AA56" s="113">
        <v>0.1</v>
      </c>
      <c r="AB56" s="121">
        <v>0.17</v>
      </c>
      <c r="AC56" s="126">
        <v>0.41</v>
      </c>
      <c r="AD56" s="135">
        <v>1</v>
      </c>
    </row>
    <row r="57" spans="1:31" s="56" customFormat="1" ht="105.75" customHeight="1" x14ac:dyDescent="0.25">
      <c r="A57" s="294"/>
      <c r="B57" s="323"/>
      <c r="C57" s="294"/>
      <c r="D57" s="293"/>
      <c r="E57" s="317"/>
      <c r="F57" s="294"/>
      <c r="G57" s="294"/>
      <c r="H57" s="346"/>
      <c r="I57" s="346"/>
      <c r="J57" s="349"/>
      <c r="K57" s="349"/>
      <c r="L57" s="349"/>
      <c r="M57" s="349"/>
      <c r="N57" s="352"/>
      <c r="O57" s="346"/>
      <c r="P57" s="343"/>
      <c r="Q57" s="343"/>
      <c r="R57" s="343"/>
      <c r="S57" s="343"/>
      <c r="T57" s="331"/>
      <c r="U57" s="331"/>
      <c r="V57" s="331"/>
      <c r="W57" s="340"/>
      <c r="X57" s="54" t="s">
        <v>720</v>
      </c>
      <c r="Y57" s="55" t="s">
        <v>736</v>
      </c>
      <c r="Z57" s="100" t="s">
        <v>735</v>
      </c>
      <c r="AA57" s="113">
        <v>0.03</v>
      </c>
      <c r="AB57" s="121">
        <v>0.15</v>
      </c>
      <c r="AC57" s="126">
        <v>0.16</v>
      </c>
      <c r="AD57" s="135">
        <v>1</v>
      </c>
    </row>
    <row r="58" spans="1:31" s="56" customFormat="1" ht="60.75" customHeight="1" x14ac:dyDescent="0.25">
      <c r="A58" s="294"/>
      <c r="B58" s="323"/>
      <c r="C58" s="294"/>
      <c r="D58" s="293"/>
      <c r="E58" s="317"/>
      <c r="F58" s="294"/>
      <c r="G58" s="294"/>
      <c r="H58" s="346"/>
      <c r="I58" s="346"/>
      <c r="J58" s="349"/>
      <c r="K58" s="349"/>
      <c r="L58" s="349"/>
      <c r="M58" s="349"/>
      <c r="N58" s="352"/>
      <c r="O58" s="346"/>
      <c r="P58" s="343"/>
      <c r="Q58" s="343"/>
      <c r="R58" s="343"/>
      <c r="S58" s="343"/>
      <c r="T58" s="331"/>
      <c r="U58" s="331"/>
      <c r="V58" s="331"/>
      <c r="W58" s="340"/>
      <c r="X58" s="54" t="s">
        <v>721</v>
      </c>
      <c r="Y58" s="100" t="s">
        <v>737</v>
      </c>
      <c r="Z58" s="100" t="s">
        <v>735</v>
      </c>
      <c r="AA58" s="113">
        <v>0.52</v>
      </c>
      <c r="AB58" s="121">
        <v>0.72</v>
      </c>
      <c r="AC58" s="126">
        <v>0.9</v>
      </c>
      <c r="AD58" s="135">
        <v>1</v>
      </c>
    </row>
    <row r="59" spans="1:31" s="56" customFormat="1" ht="45.75" customHeight="1" x14ac:dyDescent="0.25">
      <c r="A59" s="294"/>
      <c r="B59" s="323"/>
      <c r="C59" s="294"/>
      <c r="D59" s="293"/>
      <c r="E59" s="317"/>
      <c r="F59" s="294"/>
      <c r="G59" s="294"/>
      <c r="H59" s="346"/>
      <c r="I59" s="346"/>
      <c r="J59" s="349"/>
      <c r="K59" s="349"/>
      <c r="L59" s="349"/>
      <c r="M59" s="349"/>
      <c r="N59" s="352"/>
      <c r="O59" s="346"/>
      <c r="P59" s="343"/>
      <c r="Q59" s="343"/>
      <c r="R59" s="343"/>
      <c r="S59" s="343"/>
      <c r="T59" s="337"/>
      <c r="U59" s="337"/>
      <c r="V59" s="337"/>
      <c r="W59" s="340"/>
      <c r="X59" s="54" t="s">
        <v>722</v>
      </c>
      <c r="Y59" s="100" t="s">
        <v>738</v>
      </c>
      <c r="Z59" s="100" t="s">
        <v>735</v>
      </c>
      <c r="AA59" s="113">
        <v>0.44</v>
      </c>
      <c r="AB59" s="121">
        <v>0.5</v>
      </c>
      <c r="AC59" s="126">
        <v>0.51</v>
      </c>
      <c r="AD59" s="135">
        <v>1</v>
      </c>
    </row>
    <row r="60" spans="1:31" s="56" customFormat="1" ht="45.75" customHeight="1" x14ac:dyDescent="0.25">
      <c r="A60" s="294"/>
      <c r="B60" s="323"/>
      <c r="C60" s="294"/>
      <c r="D60" s="293"/>
      <c r="E60" s="317"/>
      <c r="F60" s="294"/>
      <c r="G60" s="294"/>
      <c r="H60" s="346"/>
      <c r="I60" s="346"/>
      <c r="J60" s="349"/>
      <c r="K60" s="349"/>
      <c r="L60" s="349"/>
      <c r="M60" s="349"/>
      <c r="N60" s="352"/>
      <c r="O60" s="346"/>
      <c r="P60" s="343"/>
      <c r="Q60" s="343"/>
      <c r="R60" s="343"/>
      <c r="S60" s="343"/>
      <c r="T60" s="337"/>
      <c r="U60" s="337"/>
      <c r="V60" s="337"/>
      <c r="W60" s="340"/>
      <c r="X60" s="54" t="s">
        <v>723</v>
      </c>
      <c r="Y60" s="100" t="s">
        <v>739</v>
      </c>
      <c r="Z60" s="100" t="s">
        <v>65</v>
      </c>
      <c r="AA60" s="113">
        <v>0.06</v>
      </c>
      <c r="AB60" s="121">
        <v>0.2</v>
      </c>
      <c r="AC60" s="126">
        <v>0.28999999999999998</v>
      </c>
      <c r="AD60" s="135">
        <v>0.85</v>
      </c>
    </row>
    <row r="61" spans="1:31" s="56" customFormat="1" ht="45.75" customHeight="1" x14ac:dyDescent="0.25">
      <c r="A61" s="294"/>
      <c r="B61" s="323"/>
      <c r="C61" s="294"/>
      <c r="D61" s="293"/>
      <c r="E61" s="317"/>
      <c r="F61" s="294"/>
      <c r="G61" s="294"/>
      <c r="H61" s="346"/>
      <c r="I61" s="346"/>
      <c r="J61" s="349"/>
      <c r="K61" s="349"/>
      <c r="L61" s="349"/>
      <c r="M61" s="349"/>
      <c r="N61" s="352"/>
      <c r="O61" s="346"/>
      <c r="P61" s="343"/>
      <c r="Q61" s="343"/>
      <c r="R61" s="343"/>
      <c r="S61" s="343"/>
      <c r="T61" s="337"/>
      <c r="U61" s="337"/>
      <c r="V61" s="337"/>
      <c r="W61" s="340"/>
      <c r="X61" s="54" t="s">
        <v>724</v>
      </c>
      <c r="Y61" s="100" t="s">
        <v>740</v>
      </c>
      <c r="Z61" s="100" t="s">
        <v>65</v>
      </c>
      <c r="AA61" s="113">
        <v>0.34</v>
      </c>
      <c r="AB61" s="121">
        <v>0.57999999999999996</v>
      </c>
      <c r="AC61" s="126">
        <v>0.81</v>
      </c>
      <c r="AD61" s="135">
        <v>0.99</v>
      </c>
    </row>
    <row r="62" spans="1:31" s="56" customFormat="1" ht="44.25" customHeight="1" x14ac:dyDescent="0.25">
      <c r="A62" s="294"/>
      <c r="B62" s="323"/>
      <c r="C62" s="294"/>
      <c r="D62" s="293"/>
      <c r="E62" s="317"/>
      <c r="F62" s="294"/>
      <c r="G62" s="294"/>
      <c r="H62" s="346"/>
      <c r="I62" s="346"/>
      <c r="J62" s="349"/>
      <c r="K62" s="349"/>
      <c r="L62" s="349"/>
      <c r="M62" s="349"/>
      <c r="N62" s="352"/>
      <c r="O62" s="346"/>
      <c r="P62" s="343"/>
      <c r="Q62" s="343"/>
      <c r="R62" s="343"/>
      <c r="S62" s="343"/>
      <c r="T62" s="337"/>
      <c r="U62" s="337"/>
      <c r="V62" s="337"/>
      <c r="W62" s="340"/>
      <c r="X62" s="54" t="s">
        <v>725</v>
      </c>
      <c r="Y62" s="100" t="s">
        <v>741</v>
      </c>
      <c r="Z62" s="100" t="s">
        <v>65</v>
      </c>
      <c r="AA62" s="113">
        <v>0.28000000000000003</v>
      </c>
      <c r="AB62" s="121">
        <v>0.5</v>
      </c>
      <c r="AC62" s="126">
        <v>0.78</v>
      </c>
      <c r="AD62" s="135">
        <v>1</v>
      </c>
    </row>
    <row r="63" spans="1:31" s="56" customFormat="1" ht="44.25" customHeight="1" x14ac:dyDescent="0.25">
      <c r="A63" s="294"/>
      <c r="B63" s="323"/>
      <c r="C63" s="294"/>
      <c r="D63" s="293"/>
      <c r="E63" s="317"/>
      <c r="F63" s="294"/>
      <c r="G63" s="294"/>
      <c r="H63" s="346"/>
      <c r="I63" s="346"/>
      <c r="J63" s="349"/>
      <c r="K63" s="349"/>
      <c r="L63" s="349"/>
      <c r="M63" s="349"/>
      <c r="N63" s="352"/>
      <c r="O63" s="346"/>
      <c r="P63" s="343"/>
      <c r="Q63" s="343"/>
      <c r="R63" s="343"/>
      <c r="S63" s="343"/>
      <c r="T63" s="337"/>
      <c r="U63" s="337"/>
      <c r="V63" s="337"/>
      <c r="W63" s="340"/>
      <c r="X63" s="54" t="s">
        <v>726</v>
      </c>
      <c r="Y63" s="100" t="s">
        <v>742</v>
      </c>
      <c r="Z63" s="100" t="s">
        <v>65</v>
      </c>
      <c r="AA63" s="113">
        <v>0.11</v>
      </c>
      <c r="AB63" s="121">
        <v>0.35</v>
      </c>
      <c r="AC63" s="126">
        <v>0.68</v>
      </c>
      <c r="AD63" s="135">
        <v>1</v>
      </c>
    </row>
    <row r="64" spans="1:31" s="56" customFormat="1" ht="44.25" customHeight="1" x14ac:dyDescent="0.25">
      <c r="A64" s="294"/>
      <c r="B64" s="323"/>
      <c r="C64" s="294"/>
      <c r="D64" s="293"/>
      <c r="E64" s="317"/>
      <c r="F64" s="294"/>
      <c r="G64" s="294"/>
      <c r="H64" s="346"/>
      <c r="I64" s="346"/>
      <c r="J64" s="349"/>
      <c r="K64" s="349"/>
      <c r="L64" s="349"/>
      <c r="M64" s="349"/>
      <c r="N64" s="352"/>
      <c r="O64" s="346"/>
      <c r="P64" s="343"/>
      <c r="Q64" s="343"/>
      <c r="R64" s="343"/>
      <c r="S64" s="343"/>
      <c r="T64" s="337"/>
      <c r="U64" s="337"/>
      <c r="V64" s="337"/>
      <c r="W64" s="340"/>
      <c r="X64" s="54" t="s">
        <v>727</v>
      </c>
      <c r="Y64" s="100" t="s">
        <v>743</v>
      </c>
      <c r="Z64" s="118" t="s">
        <v>61</v>
      </c>
      <c r="AA64" s="113">
        <v>0.16</v>
      </c>
      <c r="AB64" s="121">
        <v>0.33</v>
      </c>
      <c r="AC64" s="126">
        <v>0.63</v>
      </c>
      <c r="AD64" s="135">
        <v>1</v>
      </c>
    </row>
    <row r="65" spans="1:31" s="56" customFormat="1" ht="72" customHeight="1" x14ac:dyDescent="0.25">
      <c r="A65" s="294"/>
      <c r="B65" s="323"/>
      <c r="C65" s="294"/>
      <c r="D65" s="293"/>
      <c r="E65" s="317"/>
      <c r="F65" s="294"/>
      <c r="G65" s="294"/>
      <c r="H65" s="347"/>
      <c r="I65" s="347"/>
      <c r="J65" s="350"/>
      <c r="K65" s="350"/>
      <c r="L65" s="350"/>
      <c r="M65" s="350"/>
      <c r="N65" s="353"/>
      <c r="O65" s="347"/>
      <c r="P65" s="344"/>
      <c r="Q65" s="344"/>
      <c r="R65" s="344"/>
      <c r="S65" s="344"/>
      <c r="T65" s="338"/>
      <c r="U65" s="338"/>
      <c r="V65" s="338"/>
      <c r="W65" s="341"/>
      <c r="X65" s="131" t="s">
        <v>799</v>
      </c>
      <c r="Y65" s="117" t="s">
        <v>800</v>
      </c>
      <c r="Z65" s="132" t="s">
        <v>732</v>
      </c>
      <c r="AA65" s="120" t="s">
        <v>713</v>
      </c>
      <c r="AB65" s="120" t="s">
        <v>713</v>
      </c>
      <c r="AC65" s="120" t="s">
        <v>713</v>
      </c>
      <c r="AD65" s="135">
        <v>0.83</v>
      </c>
    </row>
    <row r="66" spans="1:31" s="3" customFormat="1" ht="47.25" customHeight="1" x14ac:dyDescent="0.25">
      <c r="A66" s="294"/>
      <c r="B66" s="323"/>
      <c r="C66" s="294"/>
      <c r="D66" s="293"/>
      <c r="E66" s="317"/>
      <c r="F66" s="294"/>
      <c r="G66" s="294"/>
      <c r="H66" s="300" t="s">
        <v>10</v>
      </c>
      <c r="I66" s="300">
        <v>0</v>
      </c>
      <c r="J66" s="295">
        <v>0.25</v>
      </c>
      <c r="K66" s="295">
        <v>0.25</v>
      </c>
      <c r="L66" s="295">
        <v>0.25</v>
      </c>
      <c r="M66" s="295">
        <v>0.25</v>
      </c>
      <c r="N66" s="296">
        <v>1</v>
      </c>
      <c r="O66" s="299" t="s">
        <v>43</v>
      </c>
      <c r="P66" s="308">
        <f>0.25*44%</f>
        <v>0.11</v>
      </c>
      <c r="Q66" s="315">
        <f>50%*0.25</f>
        <v>0.125</v>
      </c>
      <c r="R66" s="308">
        <f>52%*25%</f>
        <v>0.13</v>
      </c>
      <c r="S66" s="308">
        <f>95%*0.25</f>
        <v>0.23749999999999999</v>
      </c>
      <c r="T66" s="303" t="s">
        <v>692</v>
      </c>
      <c r="U66" s="303" t="s">
        <v>765</v>
      </c>
      <c r="V66" s="303" t="s">
        <v>777</v>
      </c>
      <c r="W66" s="303" t="s">
        <v>817</v>
      </c>
      <c r="X66" s="13" t="s">
        <v>207</v>
      </c>
      <c r="Y66" s="100" t="s">
        <v>208</v>
      </c>
      <c r="Z66" s="4" t="s">
        <v>63</v>
      </c>
      <c r="AA66" s="92">
        <v>0.95</v>
      </c>
      <c r="AB66" s="92">
        <v>0.95</v>
      </c>
      <c r="AC66" s="92">
        <v>1</v>
      </c>
      <c r="AD66" s="135">
        <v>1</v>
      </c>
      <c r="AE66" s="56"/>
    </row>
    <row r="67" spans="1:31" s="3" customFormat="1" ht="47.25" customHeight="1" x14ac:dyDescent="0.25">
      <c r="A67" s="294"/>
      <c r="B67" s="323"/>
      <c r="C67" s="294"/>
      <c r="D67" s="293"/>
      <c r="E67" s="317"/>
      <c r="F67" s="294"/>
      <c r="G67" s="294"/>
      <c r="H67" s="300"/>
      <c r="I67" s="300"/>
      <c r="J67" s="295"/>
      <c r="K67" s="295"/>
      <c r="L67" s="295"/>
      <c r="M67" s="295"/>
      <c r="N67" s="296"/>
      <c r="O67" s="299"/>
      <c r="P67" s="308"/>
      <c r="Q67" s="315"/>
      <c r="R67" s="308"/>
      <c r="S67" s="308"/>
      <c r="T67" s="303"/>
      <c r="U67" s="303"/>
      <c r="V67" s="303"/>
      <c r="W67" s="303"/>
      <c r="X67" s="13" t="s">
        <v>285</v>
      </c>
      <c r="Y67" s="100" t="s">
        <v>209</v>
      </c>
      <c r="Z67" s="4" t="s">
        <v>249</v>
      </c>
      <c r="AA67" s="101">
        <v>0.3</v>
      </c>
      <c r="AB67" s="101">
        <v>0.3</v>
      </c>
      <c r="AC67" s="101">
        <v>0.3</v>
      </c>
      <c r="AD67" s="135" t="s">
        <v>713</v>
      </c>
      <c r="AE67" s="56"/>
    </row>
    <row r="68" spans="1:31" s="3" customFormat="1" ht="57.75" customHeight="1" x14ac:dyDescent="0.25">
      <c r="A68" s="294"/>
      <c r="B68" s="323"/>
      <c r="C68" s="294"/>
      <c r="D68" s="293"/>
      <c r="E68" s="317"/>
      <c r="F68" s="294"/>
      <c r="G68" s="294"/>
      <c r="H68" s="300"/>
      <c r="I68" s="300"/>
      <c r="J68" s="295"/>
      <c r="K68" s="295"/>
      <c r="L68" s="295"/>
      <c r="M68" s="295"/>
      <c r="N68" s="296"/>
      <c r="O68" s="299"/>
      <c r="P68" s="308"/>
      <c r="Q68" s="315"/>
      <c r="R68" s="308"/>
      <c r="S68" s="308"/>
      <c r="T68" s="303"/>
      <c r="U68" s="303"/>
      <c r="V68" s="303"/>
      <c r="W68" s="303"/>
      <c r="X68" s="13" t="s">
        <v>688</v>
      </c>
      <c r="Y68" s="100" t="s">
        <v>690</v>
      </c>
      <c r="Z68" s="4" t="s">
        <v>63</v>
      </c>
      <c r="AA68" s="101">
        <v>0.11</v>
      </c>
      <c r="AB68" s="101">
        <v>0.47</v>
      </c>
      <c r="AC68" s="101">
        <v>0.73</v>
      </c>
      <c r="AD68" s="135">
        <v>1</v>
      </c>
      <c r="AE68" s="56"/>
    </row>
    <row r="69" spans="1:31" s="3" customFormat="1" ht="98.25" customHeight="1" x14ac:dyDescent="0.25">
      <c r="A69" s="294"/>
      <c r="B69" s="323"/>
      <c r="C69" s="294"/>
      <c r="D69" s="293"/>
      <c r="E69" s="317"/>
      <c r="F69" s="294"/>
      <c r="G69" s="294"/>
      <c r="H69" s="300"/>
      <c r="I69" s="300"/>
      <c r="J69" s="295"/>
      <c r="K69" s="295"/>
      <c r="L69" s="295"/>
      <c r="M69" s="295"/>
      <c r="N69" s="296"/>
      <c r="O69" s="299"/>
      <c r="P69" s="308"/>
      <c r="Q69" s="315"/>
      <c r="R69" s="308"/>
      <c r="S69" s="308"/>
      <c r="T69" s="303"/>
      <c r="U69" s="303"/>
      <c r="V69" s="303"/>
      <c r="W69" s="303"/>
      <c r="X69" s="13" t="s">
        <v>689</v>
      </c>
      <c r="Y69" s="100" t="s">
        <v>691</v>
      </c>
      <c r="Z69" s="4" t="s">
        <v>63</v>
      </c>
      <c r="AA69" s="92">
        <v>0.1</v>
      </c>
      <c r="AB69" s="92">
        <v>0.43</v>
      </c>
      <c r="AC69" s="92">
        <v>0.54</v>
      </c>
      <c r="AD69" s="135">
        <v>1</v>
      </c>
    </row>
    <row r="70" spans="1:31" s="3" customFormat="1" ht="81.75" customHeight="1" x14ac:dyDescent="0.25">
      <c r="A70" s="321" t="s">
        <v>635</v>
      </c>
      <c r="B70" s="321" t="s">
        <v>635</v>
      </c>
      <c r="C70" s="294" t="s">
        <v>636</v>
      </c>
      <c r="D70" s="293" t="s">
        <v>637</v>
      </c>
      <c r="E70" s="317" t="s">
        <v>31</v>
      </c>
      <c r="F70" s="294" t="s">
        <v>11</v>
      </c>
      <c r="G70" s="294" t="s">
        <v>12</v>
      </c>
      <c r="H70" s="301" t="s">
        <v>13</v>
      </c>
      <c r="I70" s="301">
        <v>0</v>
      </c>
      <c r="J70" s="297">
        <v>0.25</v>
      </c>
      <c r="K70" s="297">
        <v>0.25</v>
      </c>
      <c r="L70" s="297">
        <v>0.25</v>
      </c>
      <c r="M70" s="297">
        <v>0.25</v>
      </c>
      <c r="N70" s="297">
        <v>1</v>
      </c>
      <c r="O70" s="301" t="s">
        <v>44</v>
      </c>
      <c r="P70" s="296">
        <f>81%*0.25</f>
        <v>0.20250000000000001</v>
      </c>
      <c r="Q70" s="296">
        <f>85%*0.25</f>
        <v>0.21249999999999999</v>
      </c>
      <c r="R70" s="296">
        <f>97%*25%</f>
        <v>0.24249999999999999</v>
      </c>
      <c r="S70" s="298">
        <f>99%*0.25</f>
        <v>0.2475</v>
      </c>
      <c r="T70" s="303" t="s">
        <v>693</v>
      </c>
      <c r="U70" s="303" t="s">
        <v>754</v>
      </c>
      <c r="V70" s="303" t="s">
        <v>778</v>
      </c>
      <c r="W70" s="336" t="s">
        <v>818</v>
      </c>
      <c r="X70" s="13" t="s">
        <v>284</v>
      </c>
      <c r="Y70" s="13" t="s">
        <v>215</v>
      </c>
      <c r="Z70" s="4" t="s">
        <v>70</v>
      </c>
      <c r="AA70" s="92">
        <v>0.78</v>
      </c>
      <c r="AB70" s="92">
        <v>0.82</v>
      </c>
      <c r="AC70" s="92">
        <v>0.9</v>
      </c>
      <c r="AD70" s="135">
        <v>1</v>
      </c>
    </row>
    <row r="71" spans="1:31" s="3" customFormat="1" ht="171" customHeight="1" x14ac:dyDescent="0.25">
      <c r="A71" s="321"/>
      <c r="B71" s="321"/>
      <c r="C71" s="294"/>
      <c r="D71" s="293"/>
      <c r="E71" s="317"/>
      <c r="F71" s="294"/>
      <c r="G71" s="294"/>
      <c r="H71" s="301"/>
      <c r="I71" s="301"/>
      <c r="J71" s="297"/>
      <c r="K71" s="297"/>
      <c r="L71" s="297"/>
      <c r="M71" s="297"/>
      <c r="N71" s="297"/>
      <c r="O71" s="301"/>
      <c r="P71" s="296"/>
      <c r="Q71" s="296"/>
      <c r="R71" s="296"/>
      <c r="S71" s="298"/>
      <c r="T71" s="303"/>
      <c r="U71" s="303"/>
      <c r="V71" s="303"/>
      <c r="W71" s="297"/>
      <c r="X71" s="13" t="s">
        <v>694</v>
      </c>
      <c r="Y71" s="100" t="s">
        <v>216</v>
      </c>
      <c r="Z71" s="4" t="s">
        <v>62</v>
      </c>
      <c r="AA71" s="92">
        <v>0.18</v>
      </c>
      <c r="AB71" s="92">
        <v>0.35</v>
      </c>
      <c r="AC71" s="92">
        <v>0.83</v>
      </c>
      <c r="AD71" s="135">
        <v>1</v>
      </c>
    </row>
    <row r="72" spans="1:31" s="3" customFormat="1" ht="60" customHeight="1" x14ac:dyDescent="0.25">
      <c r="A72" s="321"/>
      <c r="B72" s="321"/>
      <c r="C72" s="294"/>
      <c r="D72" s="91" t="s">
        <v>638</v>
      </c>
      <c r="E72" s="317"/>
      <c r="F72" s="294"/>
      <c r="G72" s="294" t="s">
        <v>15</v>
      </c>
      <c r="H72" s="301" t="s">
        <v>17</v>
      </c>
      <c r="I72" s="301">
        <v>0</v>
      </c>
      <c r="J72" s="297">
        <v>0.25</v>
      </c>
      <c r="K72" s="297">
        <v>0.25</v>
      </c>
      <c r="L72" s="297">
        <v>0.25</v>
      </c>
      <c r="M72" s="297">
        <v>0.25</v>
      </c>
      <c r="N72" s="297">
        <v>1</v>
      </c>
      <c r="O72" s="301" t="s">
        <v>45</v>
      </c>
      <c r="P72" s="296">
        <f>0.25*57%</f>
        <v>0.14249999999999999</v>
      </c>
      <c r="Q72" s="296">
        <f>63%*0.25</f>
        <v>0.1575</v>
      </c>
      <c r="R72" s="296">
        <f>71%*25%</f>
        <v>0.17749999999999999</v>
      </c>
      <c r="S72" s="298">
        <f>75%*0.25</f>
        <v>0.1875</v>
      </c>
      <c r="T72" s="303" t="s">
        <v>701</v>
      </c>
      <c r="U72" s="303" t="s">
        <v>755</v>
      </c>
      <c r="V72" s="303" t="s">
        <v>779</v>
      </c>
      <c r="W72" s="336" t="s">
        <v>824</v>
      </c>
      <c r="X72" s="13" t="s">
        <v>695</v>
      </c>
      <c r="Y72" s="100" t="s">
        <v>705</v>
      </c>
      <c r="Z72" s="4" t="s">
        <v>660</v>
      </c>
      <c r="AA72" s="92">
        <v>0.25</v>
      </c>
      <c r="AB72" s="92">
        <v>0.4</v>
      </c>
      <c r="AC72" s="92">
        <v>0.4</v>
      </c>
      <c r="AD72" s="135">
        <v>0.99</v>
      </c>
    </row>
    <row r="73" spans="1:31" s="3" customFormat="1" ht="60" customHeight="1" x14ac:dyDescent="0.25">
      <c r="A73" s="321"/>
      <c r="B73" s="321"/>
      <c r="C73" s="294"/>
      <c r="D73" s="293" t="s">
        <v>639</v>
      </c>
      <c r="E73" s="317"/>
      <c r="F73" s="294"/>
      <c r="G73" s="294"/>
      <c r="H73" s="301"/>
      <c r="I73" s="301"/>
      <c r="J73" s="297"/>
      <c r="K73" s="297"/>
      <c r="L73" s="297"/>
      <c r="M73" s="297"/>
      <c r="N73" s="297"/>
      <c r="O73" s="301"/>
      <c r="P73" s="296"/>
      <c r="Q73" s="296"/>
      <c r="R73" s="296"/>
      <c r="S73" s="298"/>
      <c r="T73" s="303"/>
      <c r="U73" s="303"/>
      <c r="V73" s="303"/>
      <c r="W73" s="297"/>
      <c r="X73" s="13" t="s">
        <v>696</v>
      </c>
      <c r="Y73" s="100" t="s">
        <v>706</v>
      </c>
      <c r="Z73" s="4" t="s">
        <v>660</v>
      </c>
      <c r="AA73" s="92">
        <v>0.26</v>
      </c>
      <c r="AB73" s="92">
        <v>0.28000000000000003</v>
      </c>
      <c r="AC73" s="92">
        <v>0.28000000000000003</v>
      </c>
      <c r="AD73" s="135" t="s">
        <v>713</v>
      </c>
    </row>
    <row r="74" spans="1:31" s="3" customFormat="1" ht="60" customHeight="1" x14ac:dyDescent="0.25">
      <c r="A74" s="321"/>
      <c r="B74" s="321"/>
      <c r="C74" s="294"/>
      <c r="D74" s="293"/>
      <c r="E74" s="317"/>
      <c r="F74" s="294"/>
      <c r="G74" s="294"/>
      <c r="H74" s="301"/>
      <c r="I74" s="301"/>
      <c r="J74" s="297"/>
      <c r="K74" s="297"/>
      <c r="L74" s="297"/>
      <c r="M74" s="297"/>
      <c r="N74" s="297"/>
      <c r="O74" s="301"/>
      <c r="P74" s="296"/>
      <c r="Q74" s="296"/>
      <c r="R74" s="296"/>
      <c r="S74" s="298"/>
      <c r="T74" s="303"/>
      <c r="U74" s="303"/>
      <c r="V74" s="303"/>
      <c r="W74" s="297"/>
      <c r="X74" s="13" t="s">
        <v>697</v>
      </c>
      <c r="Y74" s="100" t="s">
        <v>707</v>
      </c>
      <c r="Z74" s="4" t="s">
        <v>330</v>
      </c>
      <c r="AA74" s="92">
        <v>0.32</v>
      </c>
      <c r="AB74" s="92">
        <v>0.31</v>
      </c>
      <c r="AC74" s="92">
        <v>0.5</v>
      </c>
      <c r="AD74" s="135">
        <v>1</v>
      </c>
    </row>
    <row r="75" spans="1:31" s="3" customFormat="1" ht="60" customHeight="1" x14ac:dyDescent="0.25">
      <c r="A75" s="321"/>
      <c r="B75" s="321"/>
      <c r="C75" s="294"/>
      <c r="D75" s="91" t="s">
        <v>640</v>
      </c>
      <c r="E75" s="317"/>
      <c r="F75" s="294"/>
      <c r="G75" s="294"/>
      <c r="H75" s="301"/>
      <c r="I75" s="301"/>
      <c r="J75" s="297"/>
      <c r="K75" s="297"/>
      <c r="L75" s="297"/>
      <c r="M75" s="297"/>
      <c r="N75" s="297"/>
      <c r="O75" s="301"/>
      <c r="P75" s="300"/>
      <c r="Q75" s="300"/>
      <c r="R75" s="300"/>
      <c r="S75" s="301"/>
      <c r="T75" s="303"/>
      <c r="U75" s="303"/>
      <c r="V75" s="303"/>
      <c r="W75" s="297"/>
      <c r="X75" s="13" t="s">
        <v>698</v>
      </c>
      <c r="Y75" s="100" t="s">
        <v>709</v>
      </c>
      <c r="Z75" s="4" t="s">
        <v>700</v>
      </c>
      <c r="AA75" s="92">
        <v>0.06</v>
      </c>
      <c r="AB75" s="92">
        <v>0.21</v>
      </c>
      <c r="AC75" s="92">
        <v>0.47</v>
      </c>
      <c r="AD75" s="135">
        <v>0.99</v>
      </c>
    </row>
    <row r="76" spans="1:31" s="3" customFormat="1" ht="102" customHeight="1" x14ac:dyDescent="0.25">
      <c r="A76" s="321"/>
      <c r="B76" s="321"/>
      <c r="C76" s="294"/>
      <c r="D76" s="91" t="s">
        <v>641</v>
      </c>
      <c r="E76" s="317"/>
      <c r="F76" s="294"/>
      <c r="G76" s="103" t="s">
        <v>49</v>
      </c>
      <c r="H76" s="301"/>
      <c r="I76" s="301"/>
      <c r="J76" s="297"/>
      <c r="K76" s="297"/>
      <c r="L76" s="297"/>
      <c r="M76" s="297"/>
      <c r="N76" s="297"/>
      <c r="O76" s="301"/>
      <c r="P76" s="300"/>
      <c r="Q76" s="300"/>
      <c r="R76" s="300"/>
      <c r="S76" s="301"/>
      <c r="T76" s="303"/>
      <c r="U76" s="303"/>
      <c r="V76" s="303"/>
      <c r="W76" s="297"/>
      <c r="X76" s="13" t="s">
        <v>699</v>
      </c>
      <c r="Y76" s="100" t="s">
        <v>708</v>
      </c>
      <c r="Z76" s="4" t="s">
        <v>700</v>
      </c>
      <c r="AA76" s="92">
        <v>0</v>
      </c>
      <c r="AB76" s="92">
        <v>0.16</v>
      </c>
      <c r="AC76" s="92">
        <v>0.55000000000000004</v>
      </c>
      <c r="AD76" s="135">
        <v>0.85</v>
      </c>
    </row>
    <row r="77" spans="1:31" s="3" customFormat="1" ht="59.25" customHeight="1" x14ac:dyDescent="0.25">
      <c r="A77" s="321"/>
      <c r="B77" s="321"/>
      <c r="C77" s="294" t="s">
        <v>645</v>
      </c>
      <c r="D77" s="357" t="s">
        <v>646</v>
      </c>
      <c r="E77" s="317" t="s">
        <v>31</v>
      </c>
      <c r="F77" s="294" t="s">
        <v>18</v>
      </c>
      <c r="G77" s="357" t="s">
        <v>19</v>
      </c>
      <c r="H77" s="345" t="s">
        <v>50</v>
      </c>
      <c r="I77" s="345">
        <v>0</v>
      </c>
      <c r="J77" s="348">
        <v>0.25</v>
      </c>
      <c r="K77" s="348">
        <v>0.25</v>
      </c>
      <c r="L77" s="348">
        <v>0.25</v>
      </c>
      <c r="M77" s="348">
        <v>0.25</v>
      </c>
      <c r="N77" s="351">
        <v>1</v>
      </c>
      <c r="O77" s="345" t="s">
        <v>53</v>
      </c>
      <c r="P77" s="342">
        <f>0.25*55%</f>
        <v>0.13750000000000001</v>
      </c>
      <c r="Q77" s="342">
        <f>0.25*55%</f>
        <v>0.13750000000000001</v>
      </c>
      <c r="R77" s="342">
        <f>75%*25%</f>
        <v>0.1875</v>
      </c>
      <c r="S77" s="342">
        <f>93%*0.25</f>
        <v>0.23250000000000001</v>
      </c>
      <c r="T77" s="330" t="s">
        <v>710</v>
      </c>
      <c r="U77" s="330" t="s">
        <v>781</v>
      </c>
      <c r="V77" s="330" t="s">
        <v>801</v>
      </c>
      <c r="W77" s="339" t="s">
        <v>819</v>
      </c>
      <c r="X77" s="130" t="s">
        <v>780</v>
      </c>
      <c r="Y77" s="125" t="s">
        <v>787</v>
      </c>
      <c r="Z77" s="4" t="s">
        <v>660</v>
      </c>
      <c r="AA77" s="92">
        <v>0</v>
      </c>
      <c r="AB77" s="110">
        <v>0.16</v>
      </c>
      <c r="AC77" s="110">
        <v>0.44</v>
      </c>
      <c r="AD77" s="135">
        <v>1</v>
      </c>
    </row>
    <row r="78" spans="1:31" s="3" customFormat="1" ht="59.25" customHeight="1" x14ac:dyDescent="0.25">
      <c r="A78" s="321"/>
      <c r="B78" s="321"/>
      <c r="C78" s="294"/>
      <c r="D78" s="358"/>
      <c r="E78" s="317"/>
      <c r="F78" s="294"/>
      <c r="G78" s="358"/>
      <c r="H78" s="346"/>
      <c r="I78" s="346"/>
      <c r="J78" s="349"/>
      <c r="K78" s="349"/>
      <c r="L78" s="349"/>
      <c r="M78" s="349"/>
      <c r="N78" s="352"/>
      <c r="O78" s="346"/>
      <c r="P78" s="343"/>
      <c r="Q78" s="343"/>
      <c r="R78" s="343"/>
      <c r="S78" s="343"/>
      <c r="T78" s="331"/>
      <c r="U78" s="331"/>
      <c r="V78" s="331"/>
      <c r="W78" s="340"/>
      <c r="X78" s="130" t="s">
        <v>782</v>
      </c>
      <c r="Y78" s="4" t="s">
        <v>788</v>
      </c>
      <c r="Z78" s="4" t="s">
        <v>73</v>
      </c>
      <c r="AA78" s="126" t="s">
        <v>713</v>
      </c>
      <c r="AB78" s="126" t="s">
        <v>713</v>
      </c>
      <c r="AC78" s="122">
        <v>0.6</v>
      </c>
      <c r="AD78" s="135">
        <v>0.98</v>
      </c>
    </row>
    <row r="79" spans="1:31" s="3" customFormat="1" ht="59.25" customHeight="1" x14ac:dyDescent="0.25">
      <c r="A79" s="321"/>
      <c r="B79" s="321"/>
      <c r="C79" s="294"/>
      <c r="D79" s="358"/>
      <c r="E79" s="317"/>
      <c r="F79" s="294"/>
      <c r="G79" s="358"/>
      <c r="H79" s="346"/>
      <c r="I79" s="346"/>
      <c r="J79" s="349"/>
      <c r="K79" s="349"/>
      <c r="L79" s="349"/>
      <c r="M79" s="349"/>
      <c r="N79" s="352"/>
      <c r="O79" s="346"/>
      <c r="P79" s="343"/>
      <c r="Q79" s="343"/>
      <c r="R79" s="343"/>
      <c r="S79" s="343"/>
      <c r="T79" s="331"/>
      <c r="U79" s="331"/>
      <c r="V79" s="331"/>
      <c r="W79" s="340"/>
      <c r="X79" s="130" t="s">
        <v>783</v>
      </c>
      <c r="Y79" s="4" t="s">
        <v>789</v>
      </c>
      <c r="Z79" s="4" t="s">
        <v>73</v>
      </c>
      <c r="AA79" s="126" t="s">
        <v>713</v>
      </c>
      <c r="AB79" s="126" t="s">
        <v>713</v>
      </c>
      <c r="AC79" s="122">
        <v>0.54</v>
      </c>
      <c r="AD79" s="135">
        <v>1</v>
      </c>
    </row>
    <row r="80" spans="1:31" s="3" customFormat="1" ht="59.25" customHeight="1" x14ac:dyDescent="0.25">
      <c r="A80" s="321"/>
      <c r="B80" s="321"/>
      <c r="C80" s="294"/>
      <c r="D80" s="358"/>
      <c r="E80" s="317"/>
      <c r="F80" s="294"/>
      <c r="G80" s="358"/>
      <c r="H80" s="346"/>
      <c r="I80" s="346"/>
      <c r="J80" s="349"/>
      <c r="K80" s="349"/>
      <c r="L80" s="349"/>
      <c r="M80" s="349"/>
      <c r="N80" s="352"/>
      <c r="O80" s="346"/>
      <c r="P80" s="343"/>
      <c r="Q80" s="343"/>
      <c r="R80" s="343"/>
      <c r="S80" s="343"/>
      <c r="T80" s="331"/>
      <c r="U80" s="331"/>
      <c r="V80" s="331"/>
      <c r="W80" s="340"/>
      <c r="X80" s="130" t="s">
        <v>784</v>
      </c>
      <c r="Y80" s="4" t="s">
        <v>790</v>
      </c>
      <c r="Z80" s="4" t="s">
        <v>73</v>
      </c>
      <c r="AA80" s="126" t="s">
        <v>713</v>
      </c>
      <c r="AB80" s="126" t="s">
        <v>713</v>
      </c>
      <c r="AC80" s="122">
        <v>0.7</v>
      </c>
      <c r="AD80" s="135">
        <v>0.67</v>
      </c>
    </row>
    <row r="81" spans="1:30" s="3" customFormat="1" ht="59.25" customHeight="1" x14ac:dyDescent="0.25">
      <c r="A81" s="321"/>
      <c r="B81" s="321"/>
      <c r="C81" s="294"/>
      <c r="D81" s="358"/>
      <c r="E81" s="317"/>
      <c r="F81" s="294"/>
      <c r="G81" s="358"/>
      <c r="H81" s="346"/>
      <c r="I81" s="346"/>
      <c r="J81" s="349"/>
      <c r="K81" s="349"/>
      <c r="L81" s="349"/>
      <c r="M81" s="349"/>
      <c r="N81" s="352"/>
      <c r="O81" s="346"/>
      <c r="P81" s="343"/>
      <c r="Q81" s="343"/>
      <c r="R81" s="343"/>
      <c r="S81" s="343"/>
      <c r="T81" s="331"/>
      <c r="U81" s="331"/>
      <c r="V81" s="331"/>
      <c r="W81" s="340"/>
      <c r="X81" s="130" t="s">
        <v>785</v>
      </c>
      <c r="Y81" s="4" t="s">
        <v>791</v>
      </c>
      <c r="Z81" s="4" t="s">
        <v>69</v>
      </c>
      <c r="AA81" s="126" t="s">
        <v>713</v>
      </c>
      <c r="AB81" s="126" t="s">
        <v>713</v>
      </c>
      <c r="AC81" s="122">
        <v>0.53</v>
      </c>
      <c r="AD81" s="135">
        <v>1</v>
      </c>
    </row>
    <row r="82" spans="1:30" s="3" customFormat="1" ht="163.5" customHeight="1" x14ac:dyDescent="0.25">
      <c r="A82" s="321"/>
      <c r="B82" s="321"/>
      <c r="C82" s="294"/>
      <c r="D82" s="359"/>
      <c r="E82" s="317"/>
      <c r="F82" s="294"/>
      <c r="G82" s="359"/>
      <c r="H82" s="347"/>
      <c r="I82" s="347"/>
      <c r="J82" s="350"/>
      <c r="K82" s="350"/>
      <c r="L82" s="350"/>
      <c r="M82" s="350"/>
      <c r="N82" s="353"/>
      <c r="O82" s="347"/>
      <c r="P82" s="344"/>
      <c r="Q82" s="344"/>
      <c r="R82" s="344"/>
      <c r="S82" s="344"/>
      <c r="T82" s="338"/>
      <c r="U82" s="360"/>
      <c r="V82" s="360"/>
      <c r="W82" s="341"/>
      <c r="X82" s="130" t="s">
        <v>786</v>
      </c>
      <c r="Y82" s="4" t="s">
        <v>792</v>
      </c>
      <c r="Z82" s="4" t="s">
        <v>73</v>
      </c>
      <c r="AA82" s="126" t="s">
        <v>713</v>
      </c>
      <c r="AB82" s="126" t="s">
        <v>713</v>
      </c>
      <c r="AC82" s="122">
        <v>0.91</v>
      </c>
      <c r="AD82" s="135">
        <v>1</v>
      </c>
    </row>
    <row r="83" spans="1:30" s="3" customFormat="1" ht="76.5" customHeight="1" x14ac:dyDescent="0.25">
      <c r="A83" s="321"/>
      <c r="B83" s="321"/>
      <c r="C83" s="294"/>
      <c r="D83" s="102" t="s">
        <v>647</v>
      </c>
      <c r="E83" s="317"/>
      <c r="F83" s="294"/>
      <c r="G83" s="103" t="s">
        <v>20</v>
      </c>
      <c r="H83" s="106" t="s">
        <v>54</v>
      </c>
      <c r="I83" s="106">
        <v>0</v>
      </c>
      <c r="J83" s="104">
        <v>0.25</v>
      </c>
      <c r="K83" s="104">
        <v>0.25</v>
      </c>
      <c r="L83" s="104">
        <v>0.25</v>
      </c>
      <c r="M83" s="104">
        <v>0.25</v>
      </c>
      <c r="N83" s="105">
        <v>1</v>
      </c>
      <c r="O83" s="106" t="s">
        <v>55</v>
      </c>
      <c r="P83" s="148" t="s">
        <v>713</v>
      </c>
      <c r="Q83" s="148" t="s">
        <v>713</v>
      </c>
      <c r="R83" s="148" t="s">
        <v>713</v>
      </c>
      <c r="S83" s="148" t="s">
        <v>713</v>
      </c>
      <c r="T83" s="107" t="s">
        <v>710</v>
      </c>
      <c r="U83" s="115" t="s">
        <v>793</v>
      </c>
      <c r="V83" s="107" t="s">
        <v>793</v>
      </c>
      <c r="W83" s="104" t="s">
        <v>793</v>
      </c>
      <c r="X83" s="13" t="s">
        <v>711</v>
      </c>
      <c r="Y83" s="4" t="s">
        <v>711</v>
      </c>
      <c r="Z83" s="4" t="s">
        <v>712</v>
      </c>
      <c r="AA83" s="110" t="s">
        <v>713</v>
      </c>
      <c r="AB83" s="110" t="s">
        <v>713</v>
      </c>
      <c r="AC83" s="110" t="s">
        <v>713</v>
      </c>
      <c r="AD83" s="135" t="s">
        <v>713</v>
      </c>
    </row>
    <row r="84" spans="1:30" s="3" customFormat="1" ht="66.75" customHeight="1" x14ac:dyDescent="0.25">
      <c r="A84" s="321"/>
      <c r="B84" s="321"/>
      <c r="C84" s="313" t="s">
        <v>636</v>
      </c>
      <c r="D84" s="322" t="s">
        <v>648</v>
      </c>
      <c r="E84" s="317" t="s">
        <v>31</v>
      </c>
      <c r="F84" s="294" t="s">
        <v>22</v>
      </c>
      <c r="G84" s="90" t="s">
        <v>23</v>
      </c>
      <c r="H84" s="301" t="s">
        <v>25</v>
      </c>
      <c r="I84" s="301">
        <v>0</v>
      </c>
      <c r="J84" s="297">
        <v>0.25</v>
      </c>
      <c r="K84" s="297">
        <v>0.25</v>
      </c>
      <c r="L84" s="297">
        <v>0.25</v>
      </c>
      <c r="M84" s="297">
        <v>0.25</v>
      </c>
      <c r="N84" s="298">
        <v>1</v>
      </c>
      <c r="O84" s="301" t="s">
        <v>46</v>
      </c>
      <c r="P84" s="308">
        <f>0.25*81%</f>
        <v>0.20250000000000001</v>
      </c>
      <c r="Q84" s="308">
        <f>88%*0.25</f>
        <v>0.22</v>
      </c>
      <c r="R84" s="308">
        <f>95%*25%</f>
        <v>0.23749999999999999</v>
      </c>
      <c r="S84" s="308">
        <f>100%*0.25</f>
        <v>0.25</v>
      </c>
      <c r="T84" s="303" t="s">
        <v>714</v>
      </c>
      <c r="U84" s="303" t="s">
        <v>756</v>
      </c>
      <c r="V84" s="303" t="s">
        <v>794</v>
      </c>
      <c r="W84" s="336" t="s">
        <v>820</v>
      </c>
      <c r="X84" s="54" t="s">
        <v>238</v>
      </c>
      <c r="Y84" s="100" t="s">
        <v>241</v>
      </c>
      <c r="Z84" s="100" t="s">
        <v>71</v>
      </c>
      <c r="AA84" s="92">
        <v>1</v>
      </c>
      <c r="AB84" s="92">
        <v>1</v>
      </c>
      <c r="AC84" s="92">
        <v>1</v>
      </c>
      <c r="AD84" s="135">
        <v>1</v>
      </c>
    </row>
    <row r="85" spans="1:30" s="3" customFormat="1" ht="66.75" customHeight="1" x14ac:dyDescent="0.25">
      <c r="A85" s="321"/>
      <c r="B85" s="321"/>
      <c r="C85" s="313"/>
      <c r="D85" s="322"/>
      <c r="E85" s="317"/>
      <c r="F85" s="294"/>
      <c r="G85" s="90" t="s">
        <v>51</v>
      </c>
      <c r="H85" s="301"/>
      <c r="I85" s="301"/>
      <c r="J85" s="297"/>
      <c r="K85" s="297"/>
      <c r="L85" s="297"/>
      <c r="M85" s="297"/>
      <c r="N85" s="298"/>
      <c r="O85" s="301"/>
      <c r="P85" s="308"/>
      <c r="Q85" s="308"/>
      <c r="R85" s="308"/>
      <c r="S85" s="308"/>
      <c r="T85" s="303"/>
      <c r="U85" s="303"/>
      <c r="V85" s="303"/>
      <c r="W85" s="297"/>
      <c r="X85" s="54" t="s">
        <v>240</v>
      </c>
      <c r="Y85" s="100" t="s">
        <v>257</v>
      </c>
      <c r="Z85" s="100" t="s">
        <v>71</v>
      </c>
      <c r="AA85" s="92">
        <v>1</v>
      </c>
      <c r="AB85" s="92">
        <v>1</v>
      </c>
      <c r="AC85" s="92">
        <v>1</v>
      </c>
      <c r="AD85" s="135">
        <v>1</v>
      </c>
    </row>
    <row r="86" spans="1:30" s="3" customFormat="1" ht="66.75" customHeight="1" x14ac:dyDescent="0.25">
      <c r="A86" s="321"/>
      <c r="B86" s="321"/>
      <c r="C86" s="313"/>
      <c r="D86" s="322"/>
      <c r="E86" s="317"/>
      <c r="F86" s="294"/>
      <c r="G86" s="103"/>
      <c r="H86" s="301"/>
      <c r="I86" s="301"/>
      <c r="J86" s="297"/>
      <c r="K86" s="297"/>
      <c r="L86" s="297"/>
      <c r="M86" s="297"/>
      <c r="N86" s="298"/>
      <c r="O86" s="301"/>
      <c r="P86" s="308"/>
      <c r="Q86" s="308"/>
      <c r="R86" s="308"/>
      <c r="S86" s="308"/>
      <c r="T86" s="303"/>
      <c r="U86" s="303"/>
      <c r="V86" s="303"/>
      <c r="W86" s="297"/>
      <c r="X86" s="54" t="s">
        <v>702</v>
      </c>
      <c r="Y86" s="100" t="s">
        <v>241</v>
      </c>
      <c r="Z86" s="100" t="s">
        <v>71</v>
      </c>
      <c r="AA86" s="110">
        <v>0.17</v>
      </c>
      <c r="AB86" s="110">
        <v>0.52</v>
      </c>
      <c r="AC86" s="110">
        <v>0.76</v>
      </c>
      <c r="AD86" s="135">
        <v>1</v>
      </c>
    </row>
    <row r="87" spans="1:30" s="3" customFormat="1" ht="66.75" customHeight="1" x14ac:dyDescent="0.25">
      <c r="A87" s="321"/>
      <c r="B87" s="321"/>
      <c r="C87" s="313"/>
      <c r="D87" s="322"/>
      <c r="E87" s="317"/>
      <c r="F87" s="294"/>
      <c r="G87" s="90" t="s">
        <v>24</v>
      </c>
      <c r="H87" s="301"/>
      <c r="I87" s="301"/>
      <c r="J87" s="297"/>
      <c r="K87" s="297"/>
      <c r="L87" s="297"/>
      <c r="M87" s="297"/>
      <c r="N87" s="298"/>
      <c r="O87" s="301"/>
      <c r="P87" s="308"/>
      <c r="Q87" s="308"/>
      <c r="R87" s="308"/>
      <c r="S87" s="308"/>
      <c r="T87" s="303"/>
      <c r="U87" s="303"/>
      <c r="V87" s="303"/>
      <c r="W87" s="297"/>
      <c r="X87" s="111" t="s">
        <v>703</v>
      </c>
      <c r="Y87" s="100" t="s">
        <v>704</v>
      </c>
      <c r="Z87" s="100" t="s">
        <v>71</v>
      </c>
      <c r="AA87" s="110">
        <v>0.15</v>
      </c>
      <c r="AB87" s="110">
        <v>0.34</v>
      </c>
      <c r="AC87" s="110">
        <v>0.8</v>
      </c>
      <c r="AD87" s="135">
        <v>1</v>
      </c>
    </row>
    <row r="88" spans="1:30" s="3" customFormat="1" ht="94.5" customHeight="1" x14ac:dyDescent="0.25">
      <c r="A88" s="313" t="s">
        <v>628</v>
      </c>
      <c r="B88" s="313" t="s">
        <v>629</v>
      </c>
      <c r="C88" s="127" t="s">
        <v>630</v>
      </c>
      <c r="D88" s="102" t="s">
        <v>623</v>
      </c>
      <c r="E88" s="109" t="s">
        <v>30</v>
      </c>
      <c r="F88" s="103" t="s">
        <v>27</v>
      </c>
      <c r="G88" s="90" t="s">
        <v>28</v>
      </c>
      <c r="H88" s="106" t="s">
        <v>52</v>
      </c>
      <c r="I88" s="106">
        <v>0</v>
      </c>
      <c r="J88" s="104">
        <v>0.25</v>
      </c>
      <c r="K88" s="104">
        <v>0.25</v>
      </c>
      <c r="L88" s="104">
        <v>0.25</v>
      </c>
      <c r="M88" s="104">
        <v>0.25</v>
      </c>
      <c r="N88" s="105">
        <v>1</v>
      </c>
      <c r="O88" s="106" t="s">
        <v>47</v>
      </c>
      <c r="P88" s="108">
        <f>0.25*59%</f>
        <v>0.14749999999999999</v>
      </c>
      <c r="Q88" s="119">
        <f>65%*0.25</f>
        <v>0.16250000000000001</v>
      </c>
      <c r="R88" s="123">
        <f>64%*25%</f>
        <v>0.16</v>
      </c>
      <c r="S88" s="146">
        <f>79%*0.25</f>
        <v>0.19750000000000001</v>
      </c>
      <c r="T88" s="112" t="s">
        <v>757</v>
      </c>
      <c r="U88" s="107" t="s">
        <v>758</v>
      </c>
      <c r="V88" s="107" t="s">
        <v>795</v>
      </c>
      <c r="W88" s="147" t="s">
        <v>821</v>
      </c>
      <c r="X88" s="13" t="s">
        <v>244</v>
      </c>
      <c r="Y88" s="100" t="s">
        <v>246</v>
      </c>
      <c r="Z88" s="100" t="s">
        <v>74</v>
      </c>
      <c r="AA88" s="92">
        <v>0.37</v>
      </c>
      <c r="AB88" s="92">
        <v>0.47</v>
      </c>
      <c r="AC88" s="92">
        <v>0.48</v>
      </c>
      <c r="AD88" s="135">
        <v>1</v>
      </c>
    </row>
    <row r="89" spans="1:30" s="3" customFormat="1" ht="161.25" customHeight="1" x14ac:dyDescent="0.25">
      <c r="A89" s="313"/>
      <c r="B89" s="313"/>
      <c r="C89" s="313" t="s">
        <v>633</v>
      </c>
      <c r="D89" s="354"/>
      <c r="E89" s="355" t="s">
        <v>30</v>
      </c>
      <c r="F89" s="313" t="s">
        <v>271</v>
      </c>
      <c r="G89" s="313" t="s">
        <v>272</v>
      </c>
      <c r="H89" s="300" t="s">
        <v>273</v>
      </c>
      <c r="I89" s="300">
        <v>0</v>
      </c>
      <c r="J89" s="295">
        <v>0.25</v>
      </c>
      <c r="K89" s="295">
        <v>0.25</v>
      </c>
      <c r="L89" s="295">
        <v>0.25</v>
      </c>
      <c r="M89" s="295">
        <v>0.25</v>
      </c>
      <c r="N89" s="296">
        <v>1</v>
      </c>
      <c r="O89" s="300" t="s">
        <v>274</v>
      </c>
      <c r="P89" s="296">
        <f>0.25*20%</f>
        <v>0.05</v>
      </c>
      <c r="Q89" s="328">
        <f>42%*0.25</f>
        <v>0.105</v>
      </c>
      <c r="R89" s="296">
        <f>51%*25%</f>
        <v>0.1275</v>
      </c>
      <c r="S89" s="296">
        <f>71%*0.25</f>
        <v>0.17749999999999999</v>
      </c>
      <c r="T89" s="303" t="s">
        <v>715</v>
      </c>
      <c r="U89" s="303" t="s">
        <v>762</v>
      </c>
      <c r="V89" s="303" t="s">
        <v>803</v>
      </c>
      <c r="W89" s="303" t="s">
        <v>825</v>
      </c>
      <c r="X89" s="130" t="s">
        <v>759</v>
      </c>
      <c r="Y89" s="4" t="s">
        <v>760</v>
      </c>
      <c r="Z89" s="4" t="s">
        <v>761</v>
      </c>
      <c r="AA89" s="110" t="s">
        <v>609</v>
      </c>
      <c r="AB89" s="110">
        <v>0.05</v>
      </c>
      <c r="AC89" s="110">
        <v>0.34</v>
      </c>
      <c r="AD89" s="135">
        <v>1</v>
      </c>
    </row>
    <row r="90" spans="1:30" ht="107.25" customHeight="1" x14ac:dyDescent="0.25">
      <c r="A90" s="313"/>
      <c r="B90" s="313"/>
      <c r="C90" s="313"/>
      <c r="D90" s="354"/>
      <c r="E90" s="355"/>
      <c r="F90" s="313"/>
      <c r="G90" s="313"/>
      <c r="H90" s="300"/>
      <c r="I90" s="300"/>
      <c r="J90" s="295"/>
      <c r="K90" s="295"/>
      <c r="L90" s="295"/>
      <c r="M90" s="295"/>
      <c r="N90" s="296"/>
      <c r="O90" s="300"/>
      <c r="P90" s="296"/>
      <c r="Q90" s="328"/>
      <c r="R90" s="296"/>
      <c r="S90" s="296"/>
      <c r="T90" s="303"/>
      <c r="U90" s="303"/>
      <c r="V90" s="303"/>
      <c r="W90" s="303"/>
      <c r="X90" s="75" t="s">
        <v>802</v>
      </c>
      <c r="Y90" s="134" t="s">
        <v>804</v>
      </c>
      <c r="Z90" s="4" t="s">
        <v>761</v>
      </c>
      <c r="AA90" s="128" t="s">
        <v>609</v>
      </c>
      <c r="AB90" s="128" t="s">
        <v>609</v>
      </c>
      <c r="AC90" s="133">
        <v>0.28999999999999998</v>
      </c>
      <c r="AD90" s="149">
        <v>0.43</v>
      </c>
    </row>
  </sheetData>
  <mergeCells count="291">
    <mergeCell ref="U77:U82"/>
    <mergeCell ref="V77:V82"/>
    <mergeCell ref="W77:W82"/>
    <mergeCell ref="D77:D82"/>
    <mergeCell ref="G77:G82"/>
    <mergeCell ref="H77:H82"/>
    <mergeCell ref="I77:I82"/>
    <mergeCell ref="J77:J82"/>
    <mergeCell ref="K77:K82"/>
    <mergeCell ref="L77:L82"/>
    <mergeCell ref="M77:M82"/>
    <mergeCell ref="N77:N82"/>
    <mergeCell ref="O77:O82"/>
    <mergeCell ref="P77:P82"/>
    <mergeCell ref="Q77:Q82"/>
    <mergeCell ref="R77:R82"/>
    <mergeCell ref="S77:S82"/>
    <mergeCell ref="T77:T82"/>
    <mergeCell ref="V28:V31"/>
    <mergeCell ref="W28:W31"/>
    <mergeCell ref="U28:U31"/>
    <mergeCell ref="T28:T31"/>
    <mergeCell ref="C12:C31"/>
    <mergeCell ref="D12:D31"/>
    <mergeCell ref="S28:S31"/>
    <mergeCell ref="R28:R31"/>
    <mergeCell ref="Q28:Q31"/>
    <mergeCell ref="P28:P31"/>
    <mergeCell ref="O28:O31"/>
    <mergeCell ref="N28:N31"/>
    <mergeCell ref="M28:M31"/>
    <mergeCell ref="L28:L31"/>
    <mergeCell ref="K28:K31"/>
    <mergeCell ref="J28:J31"/>
    <mergeCell ref="I28:I31"/>
    <mergeCell ref="H28:H31"/>
    <mergeCell ref="W20:W21"/>
    <mergeCell ref="W23:W27"/>
    <mergeCell ref="O23:O27"/>
    <mergeCell ref="P23:P27"/>
    <mergeCell ref="Q23:Q27"/>
    <mergeCell ref="R23:R27"/>
    <mergeCell ref="I84:I87"/>
    <mergeCell ref="J84:J87"/>
    <mergeCell ref="K84:K87"/>
    <mergeCell ref="L84:L87"/>
    <mergeCell ref="M84:M87"/>
    <mergeCell ref="N84:N87"/>
    <mergeCell ref="U84:U87"/>
    <mergeCell ref="V84:V87"/>
    <mergeCell ref="W84:W87"/>
    <mergeCell ref="O84:O87"/>
    <mergeCell ref="P84:P87"/>
    <mergeCell ref="Q84:Q87"/>
    <mergeCell ref="R84:R87"/>
    <mergeCell ref="S84:S87"/>
    <mergeCell ref="T84:T87"/>
    <mergeCell ref="C77:C83"/>
    <mergeCell ref="E77:E83"/>
    <mergeCell ref="F77:F83"/>
    <mergeCell ref="C84:C87"/>
    <mergeCell ref="D84:D87"/>
    <mergeCell ref="E84:E87"/>
    <mergeCell ref="F84:F87"/>
    <mergeCell ref="H84:H87"/>
    <mergeCell ref="A88:A90"/>
    <mergeCell ref="B88:B90"/>
    <mergeCell ref="C89:C90"/>
    <mergeCell ref="D89:D90"/>
    <mergeCell ref="E89:E90"/>
    <mergeCell ref="F89:F90"/>
    <mergeCell ref="G89:G90"/>
    <mergeCell ref="H89:H90"/>
    <mergeCell ref="Q70:Q71"/>
    <mergeCell ref="W72:W76"/>
    <mergeCell ref="D73:D74"/>
    <mergeCell ref="S72:S76"/>
    <mergeCell ref="T72:T76"/>
    <mergeCell ref="U72:U76"/>
    <mergeCell ref="V72:V76"/>
    <mergeCell ref="H72:H76"/>
    <mergeCell ref="I72:I76"/>
    <mergeCell ref="J72:J76"/>
    <mergeCell ref="Q72:Q76"/>
    <mergeCell ref="R72:R76"/>
    <mergeCell ref="K72:K76"/>
    <mergeCell ref="L72:L76"/>
    <mergeCell ref="M72:M76"/>
    <mergeCell ref="N72:N76"/>
    <mergeCell ref="O72:O76"/>
    <mergeCell ref="P72:P76"/>
    <mergeCell ref="F70:F76"/>
    <mergeCell ref="G70:G71"/>
    <mergeCell ref="R70:R71"/>
    <mergeCell ref="S70:S71"/>
    <mergeCell ref="T70:T71"/>
    <mergeCell ref="U70:U71"/>
    <mergeCell ref="V70:V71"/>
    <mergeCell ref="T66:T69"/>
    <mergeCell ref="U66:U69"/>
    <mergeCell ref="V66:V69"/>
    <mergeCell ref="W70:W71"/>
    <mergeCell ref="A70:A87"/>
    <mergeCell ref="B70:B87"/>
    <mergeCell ref="C70:C76"/>
    <mergeCell ref="D70:D71"/>
    <mergeCell ref="E70:E76"/>
    <mergeCell ref="M66:M69"/>
    <mergeCell ref="N66:N69"/>
    <mergeCell ref="O66:O69"/>
    <mergeCell ref="P66:P69"/>
    <mergeCell ref="A6:A69"/>
    <mergeCell ref="B6:B69"/>
    <mergeCell ref="C45:C69"/>
    <mergeCell ref="D45:D69"/>
    <mergeCell ref="H70:H71"/>
    <mergeCell ref="I70:I71"/>
    <mergeCell ref="J70:J71"/>
    <mergeCell ref="K70:K71"/>
    <mergeCell ref="M47:M52"/>
    <mergeCell ref="N47:N52"/>
    <mergeCell ref="O70:O71"/>
    <mergeCell ref="P70:P71"/>
    <mergeCell ref="H53:H65"/>
    <mergeCell ref="I53:I65"/>
    <mergeCell ref="J53:J65"/>
    <mergeCell ref="K53:K65"/>
    <mergeCell ref="L53:L65"/>
    <mergeCell ref="M53:M65"/>
    <mergeCell ref="N53:N65"/>
    <mergeCell ref="O53:O65"/>
    <mergeCell ref="P53:P65"/>
    <mergeCell ref="G72:G75"/>
    <mergeCell ref="H66:H69"/>
    <mergeCell ref="I66:I69"/>
    <mergeCell ref="J66:J69"/>
    <mergeCell ref="L70:L71"/>
    <mergeCell ref="M70:M71"/>
    <mergeCell ref="N70:N71"/>
    <mergeCell ref="K66:K69"/>
    <mergeCell ref="L66:L69"/>
    <mergeCell ref="V53:V65"/>
    <mergeCell ref="W53:W65"/>
    <mergeCell ref="Q53:Q65"/>
    <mergeCell ref="R53:R65"/>
    <mergeCell ref="S53:S65"/>
    <mergeCell ref="T53:T65"/>
    <mergeCell ref="U53:U65"/>
    <mergeCell ref="O47:O52"/>
    <mergeCell ref="P47:P52"/>
    <mergeCell ref="W66:W69"/>
    <mergeCell ref="Q66:Q69"/>
    <mergeCell ref="R66:R69"/>
    <mergeCell ref="S66:S69"/>
    <mergeCell ref="T45:T46"/>
    <mergeCell ref="U45:U46"/>
    <mergeCell ref="V45:V46"/>
    <mergeCell ref="W45:W46"/>
    <mergeCell ref="G47:G69"/>
    <mergeCell ref="H47:H52"/>
    <mergeCell ref="I47:I52"/>
    <mergeCell ref="J47:J52"/>
    <mergeCell ref="K47:K52"/>
    <mergeCell ref="L47:L52"/>
    <mergeCell ref="N45:N46"/>
    <mergeCell ref="O45:O46"/>
    <mergeCell ref="P45:P46"/>
    <mergeCell ref="Q45:Q46"/>
    <mergeCell ref="R45:R46"/>
    <mergeCell ref="S45:S46"/>
    <mergeCell ref="H45:H46"/>
    <mergeCell ref="I45:I46"/>
    <mergeCell ref="J45:J46"/>
    <mergeCell ref="K45:K46"/>
    <mergeCell ref="L45:L46"/>
    <mergeCell ref="M45:M46"/>
    <mergeCell ref="S47:S52"/>
    <mergeCell ref="T47:T52"/>
    <mergeCell ref="S32:S44"/>
    <mergeCell ref="T32:T44"/>
    <mergeCell ref="U32:U44"/>
    <mergeCell ref="V32:V44"/>
    <mergeCell ref="W32:W44"/>
    <mergeCell ref="L32:L44"/>
    <mergeCell ref="M32:M44"/>
    <mergeCell ref="N32:N44"/>
    <mergeCell ref="O32:O44"/>
    <mergeCell ref="P32:P44"/>
    <mergeCell ref="Q32:Q44"/>
    <mergeCell ref="U47:U52"/>
    <mergeCell ref="V47:V52"/>
    <mergeCell ref="W47:W52"/>
    <mergeCell ref="Q47:Q52"/>
    <mergeCell ref="R47:R52"/>
    <mergeCell ref="C32:C44"/>
    <mergeCell ref="D32:D44"/>
    <mergeCell ref="H32:H44"/>
    <mergeCell ref="I32:I44"/>
    <mergeCell ref="J32:J44"/>
    <mergeCell ref="K32:K44"/>
    <mergeCell ref="E6:E69"/>
    <mergeCell ref="F6:F69"/>
    <mergeCell ref="V20:V21"/>
    <mergeCell ref="R32:R44"/>
    <mergeCell ref="N20:N21"/>
    <mergeCell ref="O20:O21"/>
    <mergeCell ref="P20:P21"/>
    <mergeCell ref="Q20:Q21"/>
    <mergeCell ref="R20:R21"/>
    <mergeCell ref="S20:S21"/>
    <mergeCell ref="H23:H27"/>
    <mergeCell ref="I23:I27"/>
    <mergeCell ref="J23:J27"/>
    <mergeCell ref="K23:K27"/>
    <mergeCell ref="L23:L27"/>
    <mergeCell ref="M23:M27"/>
    <mergeCell ref="V23:V27"/>
    <mergeCell ref="N23:N27"/>
    <mergeCell ref="S23:S27"/>
    <mergeCell ref="T23:T27"/>
    <mergeCell ref="U23:U27"/>
    <mergeCell ref="U16:U19"/>
    <mergeCell ref="V16:V19"/>
    <mergeCell ref="W16:W19"/>
    <mergeCell ref="G20:G46"/>
    <mergeCell ref="H20:H21"/>
    <mergeCell ref="I20:I21"/>
    <mergeCell ref="J20:J21"/>
    <mergeCell ref="K20:K21"/>
    <mergeCell ref="L20:L21"/>
    <mergeCell ref="M20:M21"/>
    <mergeCell ref="O16:O19"/>
    <mergeCell ref="P16:P19"/>
    <mergeCell ref="Q16:Q19"/>
    <mergeCell ref="R16:R19"/>
    <mergeCell ref="S16:S19"/>
    <mergeCell ref="T16:T19"/>
    <mergeCell ref="I16:I19"/>
    <mergeCell ref="J16:J19"/>
    <mergeCell ref="K16:K19"/>
    <mergeCell ref="L16:L19"/>
    <mergeCell ref="M16:M19"/>
    <mergeCell ref="N16:N19"/>
    <mergeCell ref="T20:T21"/>
    <mergeCell ref="U20:U21"/>
    <mergeCell ref="S6:S15"/>
    <mergeCell ref="T6:T15"/>
    <mergeCell ref="U6:U15"/>
    <mergeCell ref="V6:V15"/>
    <mergeCell ref="W6:W15"/>
    <mergeCell ref="G12:G15"/>
    <mergeCell ref="G16:G19"/>
    <mergeCell ref="H16:H19"/>
    <mergeCell ref="M6:M15"/>
    <mergeCell ref="N6:N15"/>
    <mergeCell ref="O6:O15"/>
    <mergeCell ref="P6:P15"/>
    <mergeCell ref="Q6:Q15"/>
    <mergeCell ref="R6:R15"/>
    <mergeCell ref="G6:G11"/>
    <mergeCell ref="H6:H15"/>
    <mergeCell ref="I6:I15"/>
    <mergeCell ref="J6:J15"/>
    <mergeCell ref="K6:K15"/>
    <mergeCell ref="L6:L15"/>
    <mergeCell ref="C6:C11"/>
    <mergeCell ref="D6:D11"/>
    <mergeCell ref="A1:D2"/>
    <mergeCell ref="E1:AC3"/>
    <mergeCell ref="A3:C3"/>
    <mergeCell ref="A4:G4"/>
    <mergeCell ref="H4:O4"/>
    <mergeCell ref="P4:S4"/>
    <mergeCell ref="T4:W4"/>
    <mergeCell ref="X4:Z4"/>
    <mergeCell ref="AA4:AD4"/>
    <mergeCell ref="R89:R90"/>
    <mergeCell ref="S89:S90"/>
    <mergeCell ref="T89:T90"/>
    <mergeCell ref="U89:U90"/>
    <mergeCell ref="V89:V90"/>
    <mergeCell ref="W89:W90"/>
    <mergeCell ref="I89:I90"/>
    <mergeCell ref="J89:J90"/>
    <mergeCell ref="K89:K90"/>
    <mergeCell ref="L89:L90"/>
    <mergeCell ref="M89:M90"/>
    <mergeCell ref="N89:N90"/>
    <mergeCell ref="O89:O90"/>
    <mergeCell ref="P89:P90"/>
    <mergeCell ref="Q89:Q9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5"/>
  <sheetViews>
    <sheetView tabSelected="1" topLeftCell="X8" zoomScale="80" zoomScaleNormal="80" workbookViewId="0">
      <selection activeCell="AD41" sqref="AD41:AD42"/>
    </sheetView>
  </sheetViews>
  <sheetFormatPr baseColWidth="10" defaultRowHeight="11.25" x14ac:dyDescent="0.25"/>
  <cols>
    <col min="1" max="1" width="17" style="21" bestFit="1" customWidth="1"/>
    <col min="2" max="2" width="36" style="21" bestFit="1" customWidth="1"/>
    <col min="3" max="3" width="29.5703125" style="21" bestFit="1" customWidth="1"/>
    <col min="4" max="4" width="30.5703125" style="21" bestFit="1" customWidth="1"/>
    <col min="5" max="5" width="23.5703125" style="16" bestFit="1" customWidth="1"/>
    <col min="6" max="6" width="59.28515625" style="17" bestFit="1" customWidth="1"/>
    <col min="7" max="7" width="33.5703125" style="18" bestFit="1" customWidth="1"/>
    <col min="8" max="8" width="28.5703125" style="18" bestFit="1" customWidth="1"/>
    <col min="9" max="9" width="17.28515625" style="18" customWidth="1"/>
    <col min="10" max="13" width="12" style="19" customWidth="1"/>
    <col min="14" max="14" width="11" style="16" customWidth="1"/>
    <col min="15" max="15" width="53.7109375" style="196" customWidth="1"/>
    <col min="16" max="16" width="13.5703125" style="18" customWidth="1"/>
    <col min="17" max="17" width="13" style="18" customWidth="1"/>
    <col min="18" max="18" width="12" style="18" customWidth="1"/>
    <col min="19" max="19" width="13.7109375" style="18" customWidth="1"/>
    <col min="20" max="20" width="109.5703125" style="23" customWidth="1"/>
    <col min="21" max="21" width="133.7109375" style="23" customWidth="1"/>
    <col min="22" max="22" width="103.7109375" style="23" customWidth="1"/>
    <col min="23" max="23" width="113" style="19" customWidth="1"/>
    <col min="24" max="24" width="59.85546875" style="21" customWidth="1"/>
    <col min="25" max="25" width="81" style="21" customWidth="1"/>
    <col min="26" max="26" width="32" style="21" customWidth="1"/>
    <col min="27" max="27" width="15" style="53" customWidth="1"/>
    <col min="28" max="28" width="14.85546875" style="53" customWidth="1"/>
    <col min="29" max="29" width="13.42578125" style="53" customWidth="1"/>
    <col min="30" max="30" width="14" style="53" customWidth="1"/>
    <col min="31" max="16384" width="11.42578125" style="21"/>
  </cols>
  <sheetData>
    <row r="1" spans="1:30" s="1" customFormat="1" ht="51.75" customHeight="1" x14ac:dyDescent="0.25">
      <c r="A1" s="289" t="s">
        <v>109</v>
      </c>
      <c r="B1" s="289"/>
      <c r="C1" s="289"/>
      <c r="D1" s="289"/>
      <c r="E1" s="312" t="s">
        <v>109</v>
      </c>
      <c r="F1" s="312"/>
      <c r="G1" s="312"/>
      <c r="H1" s="312"/>
      <c r="I1" s="312"/>
      <c r="J1" s="312"/>
      <c r="K1" s="312"/>
      <c r="L1" s="312"/>
      <c r="M1" s="312"/>
      <c r="N1" s="312"/>
      <c r="O1" s="312"/>
      <c r="P1" s="312"/>
      <c r="Q1" s="312"/>
      <c r="R1" s="312"/>
      <c r="S1" s="312"/>
      <c r="T1" s="312"/>
      <c r="U1" s="312"/>
      <c r="V1" s="312"/>
      <c r="W1" s="312"/>
      <c r="X1" s="312"/>
      <c r="Y1" s="312"/>
      <c r="Z1" s="312"/>
      <c r="AA1" s="312"/>
      <c r="AB1" s="312"/>
      <c r="AC1" s="312"/>
      <c r="AD1" s="52"/>
    </row>
    <row r="2" spans="1:30" s="1" customFormat="1" ht="51.75" customHeight="1" x14ac:dyDescent="0.25">
      <c r="A2" s="289"/>
      <c r="B2" s="289"/>
      <c r="C2" s="289"/>
      <c r="D2" s="289"/>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52"/>
    </row>
    <row r="3" spans="1:30" s="1" customFormat="1" ht="12.75" customHeight="1" x14ac:dyDescent="0.25">
      <c r="A3" s="288" t="s">
        <v>649</v>
      </c>
      <c r="B3" s="288"/>
      <c r="C3" s="288"/>
      <c r="D3" s="89"/>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52"/>
    </row>
    <row r="4" spans="1:30" s="59" customFormat="1" ht="29.25" customHeight="1" x14ac:dyDescent="0.25">
      <c r="A4" s="290" t="s">
        <v>94</v>
      </c>
      <c r="B4" s="290"/>
      <c r="C4" s="290"/>
      <c r="D4" s="290"/>
      <c r="E4" s="290"/>
      <c r="F4" s="290"/>
      <c r="G4" s="290"/>
      <c r="H4" s="302" t="s">
        <v>92</v>
      </c>
      <c r="I4" s="302"/>
      <c r="J4" s="302"/>
      <c r="K4" s="302"/>
      <c r="L4" s="302"/>
      <c r="M4" s="302"/>
      <c r="N4" s="302"/>
      <c r="O4" s="302"/>
      <c r="P4" s="309" t="s">
        <v>835</v>
      </c>
      <c r="Q4" s="309"/>
      <c r="R4" s="309"/>
      <c r="S4" s="309"/>
      <c r="T4" s="309" t="s">
        <v>836</v>
      </c>
      <c r="U4" s="309"/>
      <c r="V4" s="309"/>
      <c r="W4" s="309"/>
      <c r="X4" s="304" t="s">
        <v>91</v>
      </c>
      <c r="Y4" s="304"/>
      <c r="Z4" s="304"/>
      <c r="AA4" s="304" t="s">
        <v>947</v>
      </c>
      <c r="AB4" s="304"/>
      <c r="AC4" s="304"/>
      <c r="AD4" s="304"/>
    </row>
    <row r="5" spans="1:30" s="87" customFormat="1" ht="51.75" customHeight="1" x14ac:dyDescent="0.25">
      <c r="A5" s="136" t="s">
        <v>624</v>
      </c>
      <c r="B5" s="136" t="s">
        <v>625</v>
      </c>
      <c r="C5" s="136" t="s">
        <v>626</v>
      </c>
      <c r="D5" s="136" t="s">
        <v>627</v>
      </c>
      <c r="E5" s="137" t="s">
        <v>95</v>
      </c>
      <c r="F5" s="136" t="s">
        <v>104</v>
      </c>
      <c r="G5" s="136" t="s">
        <v>103</v>
      </c>
      <c r="H5" s="138" t="s">
        <v>102</v>
      </c>
      <c r="I5" s="138" t="s">
        <v>101</v>
      </c>
      <c r="J5" s="139" t="s">
        <v>105</v>
      </c>
      <c r="K5" s="139" t="s">
        <v>106</v>
      </c>
      <c r="L5" s="139" t="s">
        <v>107</v>
      </c>
      <c r="M5" s="139" t="s">
        <v>108</v>
      </c>
      <c r="N5" s="139" t="s">
        <v>96</v>
      </c>
      <c r="O5" s="195" t="s">
        <v>280</v>
      </c>
      <c r="P5" s="141" t="s">
        <v>88</v>
      </c>
      <c r="Q5" s="141" t="s">
        <v>100</v>
      </c>
      <c r="R5" s="141" t="s">
        <v>89</v>
      </c>
      <c r="S5" s="141" t="s">
        <v>90</v>
      </c>
      <c r="T5" s="142" t="s">
        <v>88</v>
      </c>
      <c r="U5" s="142" t="s">
        <v>100</v>
      </c>
      <c r="V5" s="142" t="s">
        <v>89</v>
      </c>
      <c r="W5" s="142" t="s">
        <v>90</v>
      </c>
      <c r="X5" s="144" t="s">
        <v>97</v>
      </c>
      <c r="Y5" s="144" t="s">
        <v>98</v>
      </c>
      <c r="Z5" s="144" t="s">
        <v>99</v>
      </c>
      <c r="AA5" s="145" t="s">
        <v>88</v>
      </c>
      <c r="AB5" s="145" t="s">
        <v>100</v>
      </c>
      <c r="AC5" s="145" t="s">
        <v>89</v>
      </c>
      <c r="AD5" s="145" t="s">
        <v>805</v>
      </c>
    </row>
    <row r="6" spans="1:30" s="3" customFormat="1" ht="54.75" customHeight="1" x14ac:dyDescent="0.25">
      <c r="A6" s="294" t="s">
        <v>628</v>
      </c>
      <c r="B6" s="323" t="s">
        <v>629</v>
      </c>
      <c r="C6" s="357" t="s">
        <v>630</v>
      </c>
      <c r="D6" s="357" t="s">
        <v>623</v>
      </c>
      <c r="E6" s="317" t="s">
        <v>30</v>
      </c>
      <c r="F6" s="294" t="s">
        <v>0</v>
      </c>
      <c r="G6" s="357" t="s">
        <v>1</v>
      </c>
      <c r="H6" s="345" t="s">
        <v>93</v>
      </c>
      <c r="I6" s="367">
        <v>0</v>
      </c>
      <c r="J6" s="351">
        <v>0.25</v>
      </c>
      <c r="K6" s="351">
        <v>0.25</v>
      </c>
      <c r="L6" s="351">
        <v>0.25</v>
      </c>
      <c r="M6" s="351">
        <v>0.25</v>
      </c>
      <c r="N6" s="351">
        <v>1</v>
      </c>
      <c r="O6" s="364" t="s">
        <v>32</v>
      </c>
      <c r="P6" s="351">
        <f>80%*0.25</f>
        <v>0.2</v>
      </c>
      <c r="Q6" s="351">
        <f>84%*0.25</f>
        <v>0.21</v>
      </c>
      <c r="R6" s="351">
        <f>95*0.25%</f>
        <v>0.23750000000000002</v>
      </c>
      <c r="S6" s="351">
        <f>98*0.25%</f>
        <v>0.245</v>
      </c>
      <c r="T6" s="339" t="s">
        <v>911</v>
      </c>
      <c r="U6" s="339" t="s">
        <v>950</v>
      </c>
      <c r="V6" s="361" t="s">
        <v>966</v>
      </c>
      <c r="W6" s="356" t="s">
        <v>1001</v>
      </c>
      <c r="X6" s="4" t="s">
        <v>658</v>
      </c>
      <c r="Y6" s="100" t="s">
        <v>659</v>
      </c>
      <c r="Z6" s="4" t="s">
        <v>660</v>
      </c>
      <c r="AA6" s="182">
        <v>1</v>
      </c>
      <c r="AB6" s="157">
        <v>1</v>
      </c>
      <c r="AC6" s="200" t="s">
        <v>713</v>
      </c>
      <c r="AD6" s="157" t="s">
        <v>713</v>
      </c>
    </row>
    <row r="7" spans="1:30" s="3" customFormat="1" ht="45.75" customHeight="1" x14ac:dyDescent="0.25">
      <c r="A7" s="294"/>
      <c r="B7" s="323"/>
      <c r="C7" s="358"/>
      <c r="D7" s="358"/>
      <c r="E7" s="317"/>
      <c r="F7" s="294"/>
      <c r="G7" s="358"/>
      <c r="H7" s="346"/>
      <c r="I7" s="368"/>
      <c r="J7" s="352"/>
      <c r="K7" s="352"/>
      <c r="L7" s="352"/>
      <c r="M7" s="352"/>
      <c r="N7" s="352"/>
      <c r="O7" s="365"/>
      <c r="P7" s="352"/>
      <c r="Q7" s="352"/>
      <c r="R7" s="352"/>
      <c r="S7" s="352"/>
      <c r="T7" s="340"/>
      <c r="U7" s="340"/>
      <c r="V7" s="362"/>
      <c r="W7" s="340"/>
      <c r="X7" s="4" t="s">
        <v>837</v>
      </c>
      <c r="Y7" s="100" t="s">
        <v>826</v>
      </c>
      <c r="Z7" s="4" t="s">
        <v>69</v>
      </c>
      <c r="AA7" s="182">
        <v>0.36</v>
      </c>
      <c r="AB7" s="157" t="s">
        <v>713</v>
      </c>
      <c r="AC7" s="200" t="s">
        <v>959</v>
      </c>
      <c r="AD7" s="216" t="s">
        <v>959</v>
      </c>
    </row>
    <row r="8" spans="1:30" s="3" customFormat="1" ht="44.25" customHeight="1" x14ac:dyDescent="0.25">
      <c r="A8" s="294"/>
      <c r="B8" s="323"/>
      <c r="C8" s="358"/>
      <c r="D8" s="358"/>
      <c r="E8" s="317"/>
      <c r="F8" s="294"/>
      <c r="G8" s="358"/>
      <c r="H8" s="346"/>
      <c r="I8" s="368"/>
      <c r="J8" s="352"/>
      <c r="K8" s="352"/>
      <c r="L8" s="352"/>
      <c r="M8" s="352"/>
      <c r="N8" s="352"/>
      <c r="O8" s="365"/>
      <c r="P8" s="352"/>
      <c r="Q8" s="352"/>
      <c r="R8" s="352"/>
      <c r="S8" s="352"/>
      <c r="T8" s="340"/>
      <c r="U8" s="340"/>
      <c r="V8" s="362"/>
      <c r="W8" s="340"/>
      <c r="X8" s="4" t="s">
        <v>838</v>
      </c>
      <c r="Y8" s="100" t="s">
        <v>827</v>
      </c>
      <c r="Z8" s="4" t="s">
        <v>69</v>
      </c>
      <c r="AA8" s="182">
        <v>0.51</v>
      </c>
      <c r="AB8" s="157">
        <v>0.65</v>
      </c>
      <c r="AC8" s="157">
        <v>0.87</v>
      </c>
      <c r="AD8" s="157">
        <v>1</v>
      </c>
    </row>
    <row r="9" spans="1:30" s="3" customFormat="1" ht="55.5" customHeight="1" x14ac:dyDescent="0.25">
      <c r="A9" s="294"/>
      <c r="B9" s="323"/>
      <c r="C9" s="358"/>
      <c r="D9" s="358"/>
      <c r="E9" s="317"/>
      <c r="F9" s="294"/>
      <c r="G9" s="358"/>
      <c r="H9" s="346"/>
      <c r="I9" s="368"/>
      <c r="J9" s="352"/>
      <c r="K9" s="352"/>
      <c r="L9" s="352"/>
      <c r="M9" s="352"/>
      <c r="N9" s="352"/>
      <c r="O9" s="365"/>
      <c r="P9" s="352"/>
      <c r="Q9" s="352"/>
      <c r="R9" s="352"/>
      <c r="S9" s="352"/>
      <c r="T9" s="340"/>
      <c r="U9" s="340"/>
      <c r="V9" s="362"/>
      <c r="W9" s="340"/>
      <c r="X9" s="4" t="s">
        <v>839</v>
      </c>
      <c r="Y9" s="100" t="s">
        <v>828</v>
      </c>
      <c r="Z9" s="4" t="s">
        <v>833</v>
      </c>
      <c r="AA9" s="182">
        <v>0.25</v>
      </c>
      <c r="AB9" s="157">
        <v>0.64</v>
      </c>
      <c r="AC9" s="157">
        <v>0.64</v>
      </c>
      <c r="AD9" s="157">
        <v>1</v>
      </c>
    </row>
    <row r="10" spans="1:30" s="3" customFormat="1" ht="49.5" customHeight="1" x14ac:dyDescent="0.25">
      <c r="A10" s="294"/>
      <c r="B10" s="323"/>
      <c r="C10" s="358"/>
      <c r="D10" s="358"/>
      <c r="E10" s="317"/>
      <c r="F10" s="294"/>
      <c r="G10" s="358"/>
      <c r="H10" s="346"/>
      <c r="I10" s="368"/>
      <c r="J10" s="352"/>
      <c r="K10" s="352"/>
      <c r="L10" s="352"/>
      <c r="M10" s="352"/>
      <c r="N10" s="352"/>
      <c r="O10" s="365"/>
      <c r="P10" s="352"/>
      <c r="Q10" s="352"/>
      <c r="R10" s="352"/>
      <c r="S10" s="352"/>
      <c r="T10" s="340"/>
      <c r="U10" s="340"/>
      <c r="V10" s="362"/>
      <c r="W10" s="340"/>
      <c r="X10" s="4" t="s">
        <v>840</v>
      </c>
      <c r="Y10" s="100" t="s">
        <v>829</v>
      </c>
      <c r="Z10" s="4" t="s">
        <v>833</v>
      </c>
      <c r="AA10" s="182">
        <v>0.43</v>
      </c>
      <c r="AB10" s="157">
        <v>0.53</v>
      </c>
      <c r="AC10" s="157">
        <v>0.93</v>
      </c>
      <c r="AD10" s="157">
        <v>1</v>
      </c>
    </row>
    <row r="11" spans="1:30" s="3" customFormat="1" ht="49.5" customHeight="1" x14ac:dyDescent="0.25">
      <c r="A11" s="294"/>
      <c r="B11" s="323"/>
      <c r="C11" s="358"/>
      <c r="D11" s="358"/>
      <c r="E11" s="317"/>
      <c r="F11" s="294"/>
      <c r="G11" s="358"/>
      <c r="H11" s="346"/>
      <c r="I11" s="368"/>
      <c r="J11" s="352"/>
      <c r="K11" s="352"/>
      <c r="L11" s="352"/>
      <c r="M11" s="352"/>
      <c r="N11" s="352"/>
      <c r="O11" s="365"/>
      <c r="P11" s="352"/>
      <c r="Q11" s="352"/>
      <c r="R11" s="352"/>
      <c r="S11" s="352"/>
      <c r="T11" s="340"/>
      <c r="U11" s="340"/>
      <c r="V11" s="362"/>
      <c r="W11" s="340"/>
      <c r="X11" s="6" t="s">
        <v>841</v>
      </c>
      <c r="Y11" s="100" t="s">
        <v>830</v>
      </c>
      <c r="Z11" s="4" t="s">
        <v>833</v>
      </c>
      <c r="AA11" s="182">
        <v>0.23</v>
      </c>
      <c r="AB11" s="157">
        <v>0.47</v>
      </c>
      <c r="AC11" s="157">
        <v>0.95</v>
      </c>
      <c r="AD11" s="157">
        <v>1</v>
      </c>
    </row>
    <row r="12" spans="1:30" s="3" customFormat="1" ht="49.5" customHeight="1" x14ac:dyDescent="0.25">
      <c r="A12" s="294"/>
      <c r="B12" s="323"/>
      <c r="C12" s="359"/>
      <c r="D12" s="359"/>
      <c r="E12" s="317"/>
      <c r="F12" s="294"/>
      <c r="G12" s="359"/>
      <c r="H12" s="346"/>
      <c r="I12" s="368"/>
      <c r="J12" s="352"/>
      <c r="K12" s="352"/>
      <c r="L12" s="352"/>
      <c r="M12" s="352"/>
      <c r="N12" s="352"/>
      <c r="O12" s="365"/>
      <c r="P12" s="352"/>
      <c r="Q12" s="352"/>
      <c r="R12" s="352"/>
      <c r="S12" s="352"/>
      <c r="T12" s="340"/>
      <c r="U12" s="340"/>
      <c r="V12" s="362"/>
      <c r="W12" s="340"/>
      <c r="X12" s="6" t="s">
        <v>842</v>
      </c>
      <c r="Y12" s="100" t="s">
        <v>831</v>
      </c>
      <c r="Z12" s="4" t="s">
        <v>655</v>
      </c>
      <c r="AA12" s="182">
        <v>0.16</v>
      </c>
      <c r="AB12" s="157">
        <v>0.19</v>
      </c>
      <c r="AC12" s="157">
        <v>1</v>
      </c>
      <c r="AD12" s="157" t="s">
        <v>713</v>
      </c>
    </row>
    <row r="13" spans="1:30" s="3" customFormat="1" ht="61.5" customHeight="1" x14ac:dyDescent="0.25">
      <c r="A13" s="294"/>
      <c r="B13" s="323"/>
      <c r="C13" s="357" t="s">
        <v>631</v>
      </c>
      <c r="D13" s="357" t="s">
        <v>632</v>
      </c>
      <c r="E13" s="317"/>
      <c r="F13" s="294"/>
      <c r="G13" s="357" t="s">
        <v>2</v>
      </c>
      <c r="H13" s="346"/>
      <c r="I13" s="368"/>
      <c r="J13" s="352"/>
      <c r="K13" s="352"/>
      <c r="L13" s="352"/>
      <c r="M13" s="352"/>
      <c r="N13" s="352"/>
      <c r="O13" s="365"/>
      <c r="P13" s="352"/>
      <c r="Q13" s="352"/>
      <c r="R13" s="352"/>
      <c r="S13" s="352"/>
      <c r="T13" s="340"/>
      <c r="U13" s="340"/>
      <c r="V13" s="362"/>
      <c r="W13" s="340"/>
      <c r="X13" s="6" t="s">
        <v>843</v>
      </c>
      <c r="Y13" s="100" t="s">
        <v>704</v>
      </c>
      <c r="Z13" s="4" t="s">
        <v>700</v>
      </c>
      <c r="AA13" s="182">
        <v>0.38</v>
      </c>
      <c r="AB13" s="157">
        <v>0.46</v>
      </c>
      <c r="AC13" s="157">
        <v>0.46</v>
      </c>
      <c r="AD13" s="157">
        <v>1</v>
      </c>
    </row>
    <row r="14" spans="1:30" s="3" customFormat="1" ht="64.5" customHeight="1" x14ac:dyDescent="0.25">
      <c r="A14" s="294"/>
      <c r="B14" s="323"/>
      <c r="C14" s="358"/>
      <c r="D14" s="358"/>
      <c r="E14" s="317"/>
      <c r="F14" s="294"/>
      <c r="G14" s="358"/>
      <c r="H14" s="346"/>
      <c r="I14" s="368"/>
      <c r="J14" s="352"/>
      <c r="K14" s="352"/>
      <c r="L14" s="352"/>
      <c r="M14" s="352"/>
      <c r="N14" s="352"/>
      <c r="O14" s="365"/>
      <c r="P14" s="352"/>
      <c r="Q14" s="352"/>
      <c r="R14" s="352"/>
      <c r="S14" s="352"/>
      <c r="T14" s="340"/>
      <c r="U14" s="340"/>
      <c r="V14" s="362"/>
      <c r="W14" s="340"/>
      <c r="X14" s="171" t="s">
        <v>915</v>
      </c>
      <c r="Y14" s="185" t="s">
        <v>916</v>
      </c>
      <c r="Z14" s="192" t="s">
        <v>660</v>
      </c>
      <c r="AA14" s="191">
        <v>0.22</v>
      </c>
      <c r="AB14" s="191">
        <v>0.61</v>
      </c>
      <c r="AC14" s="191">
        <v>0.73</v>
      </c>
      <c r="AD14" s="191">
        <v>1</v>
      </c>
    </row>
    <row r="15" spans="1:30" s="3" customFormat="1" ht="156" customHeight="1" x14ac:dyDescent="0.25">
      <c r="A15" s="294"/>
      <c r="B15" s="323"/>
      <c r="C15" s="358"/>
      <c r="D15" s="358"/>
      <c r="E15" s="317"/>
      <c r="F15" s="294"/>
      <c r="G15" s="359"/>
      <c r="H15" s="347"/>
      <c r="I15" s="369"/>
      <c r="J15" s="353"/>
      <c r="K15" s="353"/>
      <c r="L15" s="353"/>
      <c r="M15" s="353"/>
      <c r="N15" s="353"/>
      <c r="O15" s="366"/>
      <c r="P15" s="353"/>
      <c r="Q15" s="353"/>
      <c r="R15" s="353"/>
      <c r="S15" s="353"/>
      <c r="T15" s="341"/>
      <c r="U15" s="341"/>
      <c r="V15" s="363"/>
      <c r="W15" s="341"/>
      <c r="X15" s="171" t="s">
        <v>951</v>
      </c>
      <c r="Y15" s="185" t="s">
        <v>952</v>
      </c>
      <c r="Z15" s="183" t="s">
        <v>65</v>
      </c>
      <c r="AA15" s="198" t="s">
        <v>713</v>
      </c>
      <c r="AB15" s="198" t="s">
        <v>713</v>
      </c>
      <c r="AC15" s="184">
        <v>0.2</v>
      </c>
      <c r="AD15" s="184">
        <v>0.25</v>
      </c>
    </row>
    <row r="16" spans="1:30" s="3" customFormat="1" ht="61.5" customHeight="1" x14ac:dyDescent="0.25">
      <c r="A16" s="294"/>
      <c r="B16" s="323"/>
      <c r="C16" s="358"/>
      <c r="D16" s="358"/>
      <c r="E16" s="317"/>
      <c r="F16" s="294"/>
      <c r="G16" s="357" t="s">
        <v>3</v>
      </c>
      <c r="H16" s="345" t="s">
        <v>87</v>
      </c>
      <c r="I16" s="387">
        <v>0</v>
      </c>
      <c r="J16" s="348">
        <v>0.25</v>
      </c>
      <c r="K16" s="348">
        <v>0.25</v>
      </c>
      <c r="L16" s="348">
        <v>0.25</v>
      </c>
      <c r="M16" s="348">
        <v>0.25</v>
      </c>
      <c r="N16" s="348">
        <v>1</v>
      </c>
      <c r="O16" s="364" t="s">
        <v>33</v>
      </c>
      <c r="P16" s="348">
        <f>97%*0.25</f>
        <v>0.24249999999999999</v>
      </c>
      <c r="Q16" s="348">
        <f>99%*0.25</f>
        <v>0.2475</v>
      </c>
      <c r="R16" s="348">
        <f>97%*0.25</f>
        <v>0.24249999999999999</v>
      </c>
      <c r="S16" s="348">
        <f>99*0.25%</f>
        <v>0.2475</v>
      </c>
      <c r="T16" s="339" t="s">
        <v>912</v>
      </c>
      <c r="U16" s="339" t="s">
        <v>938</v>
      </c>
      <c r="V16" s="372" t="s">
        <v>953</v>
      </c>
      <c r="W16" s="339" t="s">
        <v>995</v>
      </c>
      <c r="X16" s="171" t="s">
        <v>913</v>
      </c>
      <c r="Y16" s="185" t="s">
        <v>914</v>
      </c>
      <c r="Z16" s="173" t="s">
        <v>834</v>
      </c>
      <c r="AA16" s="174">
        <v>1</v>
      </c>
      <c r="AB16" s="187">
        <v>1</v>
      </c>
      <c r="AC16" s="174">
        <v>1</v>
      </c>
      <c r="AD16" s="174" t="s">
        <v>713</v>
      </c>
    </row>
    <row r="17" spans="1:30" s="3" customFormat="1" ht="59.25" customHeight="1" x14ac:dyDescent="0.25">
      <c r="A17" s="294"/>
      <c r="B17" s="323"/>
      <c r="C17" s="358"/>
      <c r="D17" s="358"/>
      <c r="E17" s="317"/>
      <c r="F17" s="294"/>
      <c r="G17" s="359"/>
      <c r="H17" s="347"/>
      <c r="I17" s="388"/>
      <c r="J17" s="350"/>
      <c r="K17" s="350"/>
      <c r="L17" s="350"/>
      <c r="M17" s="350"/>
      <c r="N17" s="350"/>
      <c r="O17" s="366"/>
      <c r="P17" s="350"/>
      <c r="Q17" s="350"/>
      <c r="R17" s="350"/>
      <c r="S17" s="350"/>
      <c r="T17" s="341"/>
      <c r="U17" s="341"/>
      <c r="V17" s="373"/>
      <c r="W17" s="341"/>
      <c r="X17" s="172" t="s">
        <v>844</v>
      </c>
      <c r="Y17" s="172" t="s">
        <v>832</v>
      </c>
      <c r="Z17" s="183" t="s">
        <v>834</v>
      </c>
      <c r="AA17" s="184">
        <v>0.13</v>
      </c>
      <c r="AB17" s="184">
        <v>0.49</v>
      </c>
      <c r="AC17" s="197">
        <v>0.41</v>
      </c>
      <c r="AD17" s="184">
        <v>0.94</v>
      </c>
    </row>
    <row r="18" spans="1:30" s="3" customFormat="1" ht="89.25" customHeight="1" x14ac:dyDescent="0.25">
      <c r="A18" s="294"/>
      <c r="B18" s="323"/>
      <c r="C18" s="358"/>
      <c r="D18" s="358"/>
      <c r="E18" s="317"/>
      <c r="F18" s="294"/>
      <c r="G18" s="294" t="s">
        <v>48</v>
      </c>
      <c r="H18" s="166" t="s">
        <v>4</v>
      </c>
      <c r="I18" s="166">
        <v>0</v>
      </c>
      <c r="J18" s="234">
        <v>0.25</v>
      </c>
      <c r="K18" s="234">
        <v>0.25</v>
      </c>
      <c r="L18" s="234">
        <v>0.25</v>
      </c>
      <c r="M18" s="234">
        <v>0.25</v>
      </c>
      <c r="N18" s="229">
        <v>1</v>
      </c>
      <c r="O18" s="194" t="s">
        <v>34</v>
      </c>
      <c r="P18" s="168">
        <f>100%*0.25</f>
        <v>0.25</v>
      </c>
      <c r="Q18" s="170">
        <f>100%*0.25</f>
        <v>0.25</v>
      </c>
      <c r="R18" s="168">
        <f>100*0.25%</f>
        <v>0.25</v>
      </c>
      <c r="S18" s="230">
        <f>100*0.25%</f>
        <v>0.25</v>
      </c>
      <c r="T18" s="164" t="s">
        <v>917</v>
      </c>
      <c r="U18" s="164" t="s">
        <v>939</v>
      </c>
      <c r="V18" s="214" t="s">
        <v>964</v>
      </c>
      <c r="W18" s="224" t="s">
        <v>713</v>
      </c>
      <c r="X18" s="5" t="s">
        <v>145</v>
      </c>
      <c r="Y18" s="100" t="s">
        <v>147</v>
      </c>
      <c r="Z18" s="4" t="s">
        <v>64</v>
      </c>
      <c r="AA18" s="157">
        <v>1</v>
      </c>
      <c r="AB18" s="186">
        <v>1</v>
      </c>
      <c r="AC18" s="157">
        <v>1</v>
      </c>
      <c r="AD18" s="193" t="s">
        <v>713</v>
      </c>
    </row>
    <row r="19" spans="1:30" s="3" customFormat="1" ht="91.5" customHeight="1" x14ac:dyDescent="0.25">
      <c r="A19" s="294"/>
      <c r="B19" s="323"/>
      <c r="C19" s="358"/>
      <c r="D19" s="358"/>
      <c r="E19" s="317"/>
      <c r="F19" s="294"/>
      <c r="G19" s="294"/>
      <c r="H19" s="153" t="s">
        <v>766</v>
      </c>
      <c r="I19" s="153">
        <v>0</v>
      </c>
      <c r="J19" s="234">
        <v>0.25</v>
      </c>
      <c r="K19" s="234">
        <v>0.25</v>
      </c>
      <c r="L19" s="234">
        <v>0.25</v>
      </c>
      <c r="M19" s="234">
        <v>0.25</v>
      </c>
      <c r="N19" s="229">
        <v>1</v>
      </c>
      <c r="O19" s="194" t="s">
        <v>35</v>
      </c>
      <c r="P19" s="155">
        <f>93%*0.25</f>
        <v>0.23250000000000001</v>
      </c>
      <c r="Q19" s="155">
        <f>100%*0.25</f>
        <v>0.25</v>
      </c>
      <c r="R19" s="215">
        <f>100*0.25%</f>
        <v>0.25</v>
      </c>
      <c r="S19" s="230">
        <f>100*0.25%</f>
        <v>0.25</v>
      </c>
      <c r="T19" s="165" t="s">
        <v>918</v>
      </c>
      <c r="U19" s="154" t="s">
        <v>941</v>
      </c>
      <c r="V19" s="212" t="s">
        <v>965</v>
      </c>
      <c r="W19" s="233" t="s">
        <v>713</v>
      </c>
      <c r="X19" s="5" t="s">
        <v>845</v>
      </c>
      <c r="Y19" s="100" t="s">
        <v>150</v>
      </c>
      <c r="Z19" s="4" t="s">
        <v>655</v>
      </c>
      <c r="AA19" s="157">
        <v>0.91</v>
      </c>
      <c r="AB19" s="157">
        <v>1</v>
      </c>
      <c r="AC19" s="193">
        <v>1</v>
      </c>
      <c r="AD19" s="216" t="s">
        <v>713</v>
      </c>
    </row>
    <row r="20" spans="1:30" s="3" customFormat="1" ht="69.75" customHeight="1" x14ac:dyDescent="0.25">
      <c r="A20" s="294"/>
      <c r="B20" s="323"/>
      <c r="C20" s="358"/>
      <c r="D20" s="358"/>
      <c r="E20" s="317"/>
      <c r="F20" s="294"/>
      <c r="G20" s="294"/>
      <c r="H20" s="300" t="s">
        <v>5</v>
      </c>
      <c r="I20" s="301">
        <v>0</v>
      </c>
      <c r="J20" s="295">
        <v>0.25</v>
      </c>
      <c r="K20" s="295">
        <v>0.25</v>
      </c>
      <c r="L20" s="295">
        <v>0.25</v>
      </c>
      <c r="M20" s="295">
        <v>0.25</v>
      </c>
      <c r="N20" s="296">
        <v>1</v>
      </c>
      <c r="O20" s="301" t="s">
        <v>36</v>
      </c>
      <c r="P20" s="308">
        <f>51%*0.25</f>
        <v>0.1275</v>
      </c>
      <c r="Q20" s="308">
        <f>52%*0.25</f>
        <v>0.13</v>
      </c>
      <c r="R20" s="308">
        <f>65*0.25%</f>
        <v>0.16250000000000001</v>
      </c>
      <c r="S20" s="308">
        <f>81*0.25%</f>
        <v>0.20250000000000001</v>
      </c>
      <c r="T20" s="297" t="s">
        <v>909</v>
      </c>
      <c r="U20" s="332" t="s">
        <v>929</v>
      </c>
      <c r="V20" s="370" t="s">
        <v>948</v>
      </c>
      <c r="W20" s="336" t="s">
        <v>1002</v>
      </c>
      <c r="X20" s="13" t="s">
        <v>674</v>
      </c>
      <c r="Y20" s="100" t="s">
        <v>676</v>
      </c>
      <c r="Z20" s="4" t="s">
        <v>65</v>
      </c>
      <c r="AA20" s="157">
        <v>0.83</v>
      </c>
      <c r="AB20" s="157">
        <v>0.85</v>
      </c>
      <c r="AC20" s="157">
        <v>0.92</v>
      </c>
      <c r="AD20" s="157">
        <v>0.96</v>
      </c>
    </row>
    <row r="21" spans="1:30" s="3" customFormat="1" ht="69.75" customHeight="1" x14ac:dyDescent="0.25">
      <c r="A21" s="294"/>
      <c r="B21" s="323"/>
      <c r="C21" s="358"/>
      <c r="D21" s="358"/>
      <c r="E21" s="317"/>
      <c r="F21" s="294"/>
      <c r="G21" s="294"/>
      <c r="H21" s="300"/>
      <c r="I21" s="301"/>
      <c r="J21" s="295"/>
      <c r="K21" s="295"/>
      <c r="L21" s="295"/>
      <c r="M21" s="295"/>
      <c r="N21" s="296"/>
      <c r="O21" s="301"/>
      <c r="P21" s="308"/>
      <c r="Q21" s="308"/>
      <c r="R21" s="308"/>
      <c r="S21" s="308"/>
      <c r="T21" s="297"/>
      <c r="U21" s="331"/>
      <c r="V21" s="370"/>
      <c r="W21" s="297"/>
      <c r="X21" s="5" t="s">
        <v>675</v>
      </c>
      <c r="Y21" s="117" t="s">
        <v>281</v>
      </c>
      <c r="Z21" s="4" t="s">
        <v>65</v>
      </c>
      <c r="AA21" s="157">
        <v>0.87</v>
      </c>
      <c r="AB21" s="157">
        <v>0.79</v>
      </c>
      <c r="AC21" s="157">
        <v>0.85</v>
      </c>
      <c r="AD21" s="157">
        <v>0.95</v>
      </c>
    </row>
    <row r="22" spans="1:30" s="3" customFormat="1" ht="42" customHeight="1" x14ac:dyDescent="0.25">
      <c r="A22" s="294"/>
      <c r="B22" s="323"/>
      <c r="C22" s="358"/>
      <c r="D22" s="358"/>
      <c r="E22" s="317"/>
      <c r="F22" s="294"/>
      <c r="G22" s="294"/>
      <c r="H22" s="300"/>
      <c r="I22" s="301"/>
      <c r="J22" s="295"/>
      <c r="K22" s="295"/>
      <c r="L22" s="295"/>
      <c r="M22" s="295"/>
      <c r="N22" s="296"/>
      <c r="O22" s="301"/>
      <c r="P22" s="308"/>
      <c r="Q22" s="308"/>
      <c r="R22" s="308"/>
      <c r="S22" s="308"/>
      <c r="T22" s="297"/>
      <c r="U22" s="331"/>
      <c r="V22" s="370"/>
      <c r="W22" s="297"/>
      <c r="X22" s="399" t="s">
        <v>847</v>
      </c>
      <c r="Y22" s="389" t="s">
        <v>676</v>
      </c>
      <c r="Z22" s="389" t="s">
        <v>65</v>
      </c>
      <c r="AA22" s="391">
        <v>0.08</v>
      </c>
      <c r="AB22" s="391">
        <v>0.12</v>
      </c>
      <c r="AC22" s="391">
        <v>0.26</v>
      </c>
      <c r="AD22" s="391">
        <v>0.64</v>
      </c>
    </row>
    <row r="23" spans="1:30" s="3" customFormat="1" ht="68.25" customHeight="1" x14ac:dyDescent="0.25">
      <c r="A23" s="294"/>
      <c r="B23" s="323"/>
      <c r="C23" s="358"/>
      <c r="D23" s="358"/>
      <c r="E23" s="317"/>
      <c r="F23" s="294"/>
      <c r="G23" s="294"/>
      <c r="H23" s="300"/>
      <c r="I23" s="301"/>
      <c r="J23" s="295"/>
      <c r="K23" s="295"/>
      <c r="L23" s="295"/>
      <c r="M23" s="295"/>
      <c r="N23" s="296"/>
      <c r="O23" s="301"/>
      <c r="P23" s="308"/>
      <c r="Q23" s="308"/>
      <c r="R23" s="308"/>
      <c r="S23" s="308"/>
      <c r="T23" s="297"/>
      <c r="U23" s="331"/>
      <c r="V23" s="370"/>
      <c r="W23" s="297"/>
      <c r="X23" s="400"/>
      <c r="Y23" s="390"/>
      <c r="Z23" s="390"/>
      <c r="AA23" s="392"/>
      <c r="AB23" s="392"/>
      <c r="AC23" s="392"/>
      <c r="AD23" s="392"/>
    </row>
    <row r="24" spans="1:30" s="3" customFormat="1" ht="131.25" customHeight="1" x14ac:dyDescent="0.25">
      <c r="A24" s="294"/>
      <c r="B24" s="323"/>
      <c r="C24" s="358"/>
      <c r="D24" s="358"/>
      <c r="E24" s="317"/>
      <c r="F24" s="294"/>
      <c r="G24" s="294"/>
      <c r="H24" s="300"/>
      <c r="I24" s="301"/>
      <c r="J24" s="295"/>
      <c r="K24" s="295"/>
      <c r="L24" s="295"/>
      <c r="M24" s="295"/>
      <c r="N24" s="296"/>
      <c r="O24" s="301"/>
      <c r="P24" s="308"/>
      <c r="Q24" s="308"/>
      <c r="R24" s="308"/>
      <c r="S24" s="308"/>
      <c r="T24" s="297"/>
      <c r="U24" s="331"/>
      <c r="V24" s="370"/>
      <c r="W24" s="297"/>
      <c r="X24" s="396" t="s">
        <v>846</v>
      </c>
      <c r="Y24" s="394" t="s">
        <v>281</v>
      </c>
      <c r="Z24" s="389" t="s">
        <v>65</v>
      </c>
      <c r="AA24" s="391">
        <v>0.09</v>
      </c>
      <c r="AB24" s="391">
        <v>0.18</v>
      </c>
      <c r="AC24" s="391">
        <v>0.27</v>
      </c>
      <c r="AD24" s="391">
        <v>0.6</v>
      </c>
    </row>
    <row r="25" spans="1:30" s="3" customFormat="1" ht="335.25" customHeight="1" x14ac:dyDescent="0.25">
      <c r="A25" s="294"/>
      <c r="B25" s="323"/>
      <c r="C25" s="358"/>
      <c r="D25" s="358"/>
      <c r="E25" s="317"/>
      <c r="F25" s="294"/>
      <c r="G25" s="294"/>
      <c r="H25" s="300"/>
      <c r="I25" s="301"/>
      <c r="J25" s="295"/>
      <c r="K25" s="295"/>
      <c r="L25" s="295"/>
      <c r="M25" s="295"/>
      <c r="N25" s="296"/>
      <c r="O25" s="301"/>
      <c r="P25" s="308"/>
      <c r="Q25" s="308"/>
      <c r="R25" s="308"/>
      <c r="S25" s="308"/>
      <c r="T25" s="297"/>
      <c r="U25" s="331"/>
      <c r="V25" s="370"/>
      <c r="W25" s="297"/>
      <c r="X25" s="398"/>
      <c r="Y25" s="395"/>
      <c r="Z25" s="390"/>
      <c r="AA25" s="392"/>
      <c r="AB25" s="392"/>
      <c r="AC25" s="392"/>
      <c r="AD25" s="392"/>
    </row>
    <row r="26" spans="1:30" s="3" customFormat="1" ht="53.25" customHeight="1" x14ac:dyDescent="0.25">
      <c r="A26" s="294"/>
      <c r="B26" s="323"/>
      <c r="C26" s="358"/>
      <c r="D26" s="358"/>
      <c r="E26" s="317"/>
      <c r="F26" s="294"/>
      <c r="G26" s="294"/>
      <c r="H26" s="345" t="s">
        <v>6</v>
      </c>
      <c r="I26" s="345">
        <v>0</v>
      </c>
      <c r="J26" s="348">
        <v>0.25</v>
      </c>
      <c r="K26" s="348">
        <v>0.25</v>
      </c>
      <c r="L26" s="348">
        <v>0.25</v>
      </c>
      <c r="M26" s="348">
        <v>0.25</v>
      </c>
      <c r="N26" s="351">
        <v>1</v>
      </c>
      <c r="O26" s="364" t="s">
        <v>37</v>
      </c>
      <c r="P26" s="342">
        <f>67%*0.25</f>
        <v>0.16750000000000001</v>
      </c>
      <c r="Q26" s="342">
        <f>64%*0.25</f>
        <v>0.16</v>
      </c>
      <c r="R26" s="342">
        <f>83*0.25%</f>
        <v>0.20750000000000002</v>
      </c>
      <c r="S26" s="342">
        <f>90*0.25%</f>
        <v>0.22500000000000001</v>
      </c>
      <c r="T26" s="356" t="s">
        <v>910</v>
      </c>
      <c r="U26" s="356" t="s">
        <v>930</v>
      </c>
      <c r="V26" s="356" t="s">
        <v>949</v>
      </c>
      <c r="W26" s="356" t="s">
        <v>996</v>
      </c>
      <c r="X26" s="13" t="s">
        <v>772</v>
      </c>
      <c r="Y26" s="75" t="s">
        <v>773</v>
      </c>
      <c r="Z26" s="4" t="s">
        <v>65</v>
      </c>
      <c r="AA26" s="157">
        <v>0.76</v>
      </c>
      <c r="AB26" s="157">
        <v>0.83</v>
      </c>
      <c r="AC26" s="157">
        <v>0.95</v>
      </c>
      <c r="AD26" s="157">
        <v>0.95</v>
      </c>
    </row>
    <row r="27" spans="1:30" s="3" customFormat="1" ht="52.5" customHeight="1" x14ac:dyDescent="0.25">
      <c r="A27" s="294"/>
      <c r="B27" s="323"/>
      <c r="C27" s="358"/>
      <c r="D27" s="358"/>
      <c r="E27" s="317"/>
      <c r="F27" s="294"/>
      <c r="G27" s="294"/>
      <c r="H27" s="346"/>
      <c r="I27" s="346"/>
      <c r="J27" s="349"/>
      <c r="K27" s="349"/>
      <c r="L27" s="349"/>
      <c r="M27" s="349"/>
      <c r="N27" s="352"/>
      <c r="O27" s="365"/>
      <c r="P27" s="343"/>
      <c r="Q27" s="343"/>
      <c r="R27" s="343"/>
      <c r="S27" s="343"/>
      <c r="T27" s="385"/>
      <c r="U27" s="385"/>
      <c r="V27" s="385"/>
      <c r="W27" s="385"/>
      <c r="X27" s="13" t="s">
        <v>848</v>
      </c>
      <c r="Y27" s="75" t="s">
        <v>849</v>
      </c>
      <c r="Z27" s="4" t="s">
        <v>65</v>
      </c>
      <c r="AA27" s="157">
        <v>0.09</v>
      </c>
      <c r="AB27" s="157">
        <v>0.16</v>
      </c>
      <c r="AC27" s="157">
        <v>0.4</v>
      </c>
      <c r="AD27" s="157" t="s">
        <v>972</v>
      </c>
    </row>
    <row r="28" spans="1:30" s="3" customFormat="1" ht="52.5" customHeight="1" x14ac:dyDescent="0.25">
      <c r="A28" s="294"/>
      <c r="B28" s="323"/>
      <c r="C28" s="221"/>
      <c r="D28" s="225"/>
      <c r="E28" s="317"/>
      <c r="F28" s="294"/>
      <c r="G28" s="294"/>
      <c r="H28" s="346"/>
      <c r="I28" s="218"/>
      <c r="J28" s="219"/>
      <c r="K28" s="219"/>
      <c r="L28" s="219"/>
      <c r="M28" s="219"/>
      <c r="N28" s="220"/>
      <c r="O28" s="222"/>
      <c r="P28" s="343"/>
      <c r="Q28" s="343"/>
      <c r="R28" s="343"/>
      <c r="S28" s="343"/>
      <c r="T28" s="385"/>
      <c r="U28" s="385"/>
      <c r="V28" s="385"/>
      <c r="W28" s="385"/>
      <c r="X28" s="226" t="s">
        <v>973</v>
      </c>
      <c r="Y28" s="227" t="s">
        <v>975</v>
      </c>
      <c r="Z28" s="181" t="s">
        <v>65</v>
      </c>
      <c r="AA28" s="223"/>
      <c r="AB28" s="223"/>
      <c r="AC28" s="223"/>
      <c r="AD28" s="223">
        <v>0.88</v>
      </c>
    </row>
    <row r="29" spans="1:30" s="3" customFormat="1" ht="79.5" customHeight="1" x14ac:dyDescent="0.25">
      <c r="A29" s="294"/>
      <c r="B29" s="323"/>
      <c r="C29" s="221"/>
      <c r="D29" s="225"/>
      <c r="E29" s="317"/>
      <c r="F29" s="294"/>
      <c r="G29" s="294"/>
      <c r="H29" s="347"/>
      <c r="I29" s="218"/>
      <c r="J29" s="219"/>
      <c r="K29" s="219"/>
      <c r="L29" s="219"/>
      <c r="M29" s="219"/>
      <c r="N29" s="220"/>
      <c r="O29" s="222"/>
      <c r="P29" s="344"/>
      <c r="Q29" s="344"/>
      <c r="R29" s="344"/>
      <c r="S29" s="344"/>
      <c r="T29" s="386"/>
      <c r="U29" s="386"/>
      <c r="V29" s="386"/>
      <c r="W29" s="386"/>
      <c r="X29" s="226" t="s">
        <v>974</v>
      </c>
      <c r="Y29" s="227" t="s">
        <v>976</v>
      </c>
      <c r="Z29" s="181" t="s">
        <v>65</v>
      </c>
      <c r="AA29" s="223" t="s">
        <v>713</v>
      </c>
      <c r="AB29" s="232" t="s">
        <v>713</v>
      </c>
      <c r="AC29" s="232" t="s">
        <v>713</v>
      </c>
      <c r="AD29" s="223">
        <v>1</v>
      </c>
    </row>
    <row r="30" spans="1:30" s="3" customFormat="1" ht="34.5" customHeight="1" x14ac:dyDescent="0.25">
      <c r="A30" s="294"/>
      <c r="B30" s="323"/>
      <c r="C30" s="294" t="s">
        <v>633</v>
      </c>
      <c r="D30" s="293" t="s">
        <v>634</v>
      </c>
      <c r="E30" s="317"/>
      <c r="F30" s="294"/>
      <c r="G30" s="294"/>
      <c r="H30" s="300" t="s">
        <v>7</v>
      </c>
      <c r="I30" s="300">
        <v>0</v>
      </c>
      <c r="J30" s="295">
        <v>0.25</v>
      </c>
      <c r="K30" s="295">
        <v>0.25</v>
      </c>
      <c r="L30" s="295">
        <v>0.25</v>
      </c>
      <c r="M30" s="295">
        <v>0.25</v>
      </c>
      <c r="N30" s="296">
        <v>1</v>
      </c>
      <c r="O30" s="301" t="s">
        <v>38</v>
      </c>
      <c r="P30" s="308">
        <f>41%*0.25</f>
        <v>0.10249999999999999</v>
      </c>
      <c r="Q30" s="308">
        <f>60%*0.25</f>
        <v>0.15</v>
      </c>
      <c r="R30" s="308">
        <f>66*0.25%</f>
        <v>0.16500000000000001</v>
      </c>
      <c r="S30" s="308">
        <f>74*0.25%</f>
        <v>0.185</v>
      </c>
      <c r="T30" s="334" t="s">
        <v>980</v>
      </c>
      <c r="U30" s="335" t="s">
        <v>931</v>
      </c>
      <c r="V30" s="370" t="s">
        <v>954</v>
      </c>
      <c r="W30" s="334" t="s">
        <v>981</v>
      </c>
      <c r="X30" s="396" t="s">
        <v>169</v>
      </c>
      <c r="Y30" s="389" t="s">
        <v>75</v>
      </c>
      <c r="Z30" s="389" t="s">
        <v>65</v>
      </c>
      <c r="AA30" s="391">
        <v>0.95</v>
      </c>
      <c r="AB30" s="391">
        <v>0.85</v>
      </c>
      <c r="AC30" s="391">
        <v>0.9</v>
      </c>
      <c r="AD30" s="391">
        <v>0.99</v>
      </c>
    </row>
    <row r="31" spans="1:30" s="3" customFormat="1" x14ac:dyDescent="0.25">
      <c r="A31" s="294"/>
      <c r="B31" s="323"/>
      <c r="C31" s="294"/>
      <c r="D31" s="293"/>
      <c r="E31" s="317"/>
      <c r="F31" s="294"/>
      <c r="G31" s="294"/>
      <c r="H31" s="300"/>
      <c r="I31" s="300"/>
      <c r="J31" s="295"/>
      <c r="K31" s="295"/>
      <c r="L31" s="295"/>
      <c r="M31" s="295"/>
      <c r="N31" s="296"/>
      <c r="O31" s="301"/>
      <c r="P31" s="308"/>
      <c r="Q31" s="308"/>
      <c r="R31" s="308"/>
      <c r="S31" s="308"/>
      <c r="T31" s="334"/>
      <c r="U31" s="303"/>
      <c r="V31" s="370"/>
      <c r="W31" s="334"/>
      <c r="X31" s="397"/>
      <c r="Y31" s="402"/>
      <c r="Z31" s="402"/>
      <c r="AA31" s="401"/>
      <c r="AB31" s="401"/>
      <c r="AC31" s="401"/>
      <c r="AD31" s="401"/>
    </row>
    <row r="32" spans="1:30" s="3" customFormat="1" ht="21.75" customHeight="1" x14ac:dyDescent="0.25">
      <c r="A32" s="294"/>
      <c r="B32" s="323"/>
      <c r="C32" s="294"/>
      <c r="D32" s="293"/>
      <c r="E32" s="317"/>
      <c r="F32" s="294"/>
      <c r="G32" s="294"/>
      <c r="H32" s="300"/>
      <c r="I32" s="300"/>
      <c r="J32" s="295"/>
      <c r="K32" s="295"/>
      <c r="L32" s="295"/>
      <c r="M32" s="295"/>
      <c r="N32" s="296"/>
      <c r="O32" s="301"/>
      <c r="P32" s="308"/>
      <c r="Q32" s="308"/>
      <c r="R32" s="308"/>
      <c r="S32" s="308"/>
      <c r="T32" s="334"/>
      <c r="U32" s="303"/>
      <c r="V32" s="370"/>
      <c r="W32" s="334"/>
      <c r="X32" s="398"/>
      <c r="Y32" s="390"/>
      <c r="Z32" s="390"/>
      <c r="AA32" s="392"/>
      <c r="AB32" s="392"/>
      <c r="AC32" s="392"/>
      <c r="AD32" s="392"/>
    </row>
    <row r="33" spans="1:30" s="3" customFormat="1" ht="35.25" customHeight="1" x14ac:dyDescent="0.25">
      <c r="A33" s="294"/>
      <c r="B33" s="323"/>
      <c r="C33" s="294"/>
      <c r="D33" s="293"/>
      <c r="E33" s="317"/>
      <c r="F33" s="294"/>
      <c r="G33" s="294"/>
      <c r="H33" s="300"/>
      <c r="I33" s="300"/>
      <c r="J33" s="295"/>
      <c r="K33" s="295"/>
      <c r="L33" s="295"/>
      <c r="M33" s="295"/>
      <c r="N33" s="296"/>
      <c r="O33" s="301"/>
      <c r="P33" s="308"/>
      <c r="Q33" s="308"/>
      <c r="R33" s="308"/>
      <c r="S33" s="308"/>
      <c r="T33" s="334"/>
      <c r="U33" s="303"/>
      <c r="V33" s="370"/>
      <c r="W33" s="334"/>
      <c r="X33" s="396" t="s">
        <v>170</v>
      </c>
      <c r="Y33" s="389" t="s">
        <v>179</v>
      </c>
      <c r="Z33" s="389" t="s">
        <v>65</v>
      </c>
      <c r="AA33" s="391">
        <v>0.97</v>
      </c>
      <c r="AB33" s="391">
        <v>0.86</v>
      </c>
      <c r="AC33" s="391">
        <v>0.86</v>
      </c>
      <c r="AD33" s="391">
        <v>0.87</v>
      </c>
    </row>
    <row r="34" spans="1:30" s="3" customFormat="1" ht="32.25" customHeight="1" x14ac:dyDescent="0.25">
      <c r="A34" s="294"/>
      <c r="B34" s="323"/>
      <c r="C34" s="294"/>
      <c r="D34" s="293"/>
      <c r="E34" s="317"/>
      <c r="F34" s="294"/>
      <c r="G34" s="294"/>
      <c r="H34" s="300"/>
      <c r="I34" s="300"/>
      <c r="J34" s="295"/>
      <c r="K34" s="295"/>
      <c r="L34" s="295"/>
      <c r="M34" s="295"/>
      <c r="N34" s="296"/>
      <c r="O34" s="301"/>
      <c r="P34" s="308"/>
      <c r="Q34" s="308"/>
      <c r="R34" s="308"/>
      <c r="S34" s="308"/>
      <c r="T34" s="334"/>
      <c r="U34" s="303"/>
      <c r="V34" s="370"/>
      <c r="W34" s="334"/>
      <c r="X34" s="398"/>
      <c r="Y34" s="390"/>
      <c r="Z34" s="390"/>
      <c r="AA34" s="392"/>
      <c r="AB34" s="392"/>
      <c r="AC34" s="392"/>
      <c r="AD34" s="392"/>
    </row>
    <row r="35" spans="1:30" s="3" customFormat="1" ht="69" customHeight="1" x14ac:dyDescent="0.25">
      <c r="A35" s="294"/>
      <c r="B35" s="323"/>
      <c r="C35" s="294"/>
      <c r="D35" s="293"/>
      <c r="E35" s="317"/>
      <c r="F35" s="294"/>
      <c r="G35" s="294"/>
      <c r="H35" s="300"/>
      <c r="I35" s="300"/>
      <c r="J35" s="295"/>
      <c r="K35" s="295"/>
      <c r="L35" s="295"/>
      <c r="M35" s="295"/>
      <c r="N35" s="296"/>
      <c r="O35" s="301"/>
      <c r="P35" s="308"/>
      <c r="Q35" s="308"/>
      <c r="R35" s="308"/>
      <c r="S35" s="308"/>
      <c r="T35" s="334"/>
      <c r="U35" s="303"/>
      <c r="V35" s="370"/>
      <c r="W35" s="334"/>
      <c r="X35" s="13" t="s">
        <v>174</v>
      </c>
      <c r="Y35" s="100" t="s">
        <v>180</v>
      </c>
      <c r="Z35" s="4" t="s">
        <v>65</v>
      </c>
      <c r="AA35" s="163">
        <v>0.96</v>
      </c>
      <c r="AB35" s="157">
        <v>0.85</v>
      </c>
      <c r="AC35" s="157">
        <v>0.86</v>
      </c>
      <c r="AD35" s="157">
        <v>0.93</v>
      </c>
    </row>
    <row r="36" spans="1:30" s="3" customFormat="1" ht="69" customHeight="1" x14ac:dyDescent="0.25">
      <c r="A36" s="294"/>
      <c r="B36" s="323"/>
      <c r="C36" s="294"/>
      <c r="D36" s="293"/>
      <c r="E36" s="317"/>
      <c r="F36" s="294"/>
      <c r="G36" s="294"/>
      <c r="H36" s="300"/>
      <c r="I36" s="300"/>
      <c r="J36" s="295"/>
      <c r="K36" s="295"/>
      <c r="L36" s="295"/>
      <c r="M36" s="295"/>
      <c r="N36" s="296"/>
      <c r="O36" s="301"/>
      <c r="P36" s="308"/>
      <c r="Q36" s="308"/>
      <c r="R36" s="308"/>
      <c r="S36" s="308"/>
      <c r="T36" s="334"/>
      <c r="U36" s="303"/>
      <c r="V36" s="370"/>
      <c r="W36" s="334"/>
      <c r="X36" s="13" t="s">
        <v>678</v>
      </c>
      <c r="Y36" s="117" t="s">
        <v>254</v>
      </c>
      <c r="Z36" s="4" t="s">
        <v>65</v>
      </c>
      <c r="AA36" s="163">
        <v>0.85</v>
      </c>
      <c r="AB36" s="157">
        <v>0.9</v>
      </c>
      <c r="AC36" s="157">
        <v>0.93</v>
      </c>
      <c r="AD36" s="157">
        <v>0.94</v>
      </c>
    </row>
    <row r="37" spans="1:30" s="3" customFormat="1" ht="69" customHeight="1" x14ac:dyDescent="0.25">
      <c r="A37" s="294"/>
      <c r="B37" s="323"/>
      <c r="C37" s="294"/>
      <c r="D37" s="293"/>
      <c r="E37" s="317"/>
      <c r="F37" s="294"/>
      <c r="G37" s="294"/>
      <c r="H37" s="300"/>
      <c r="I37" s="300"/>
      <c r="J37" s="295"/>
      <c r="K37" s="295"/>
      <c r="L37" s="295"/>
      <c r="M37" s="295"/>
      <c r="N37" s="296"/>
      <c r="O37" s="301"/>
      <c r="P37" s="308"/>
      <c r="Q37" s="308"/>
      <c r="R37" s="308"/>
      <c r="S37" s="308"/>
      <c r="T37" s="334"/>
      <c r="U37" s="303"/>
      <c r="V37" s="370"/>
      <c r="W37" s="334"/>
      <c r="X37" s="13" t="s">
        <v>679</v>
      </c>
      <c r="Y37" s="117" t="s">
        <v>184</v>
      </c>
      <c r="Z37" s="4" t="s">
        <v>65</v>
      </c>
      <c r="AA37" s="163">
        <v>0.8</v>
      </c>
      <c r="AB37" s="157">
        <v>0.9</v>
      </c>
      <c r="AC37" s="157">
        <v>0.94</v>
      </c>
      <c r="AD37" s="157">
        <v>0.95</v>
      </c>
    </row>
    <row r="38" spans="1:30" s="3" customFormat="1" ht="69" customHeight="1" x14ac:dyDescent="0.25">
      <c r="A38" s="294"/>
      <c r="B38" s="323"/>
      <c r="C38" s="294"/>
      <c r="D38" s="293"/>
      <c r="E38" s="317"/>
      <c r="F38" s="294"/>
      <c r="G38" s="294"/>
      <c r="H38" s="300"/>
      <c r="I38" s="300"/>
      <c r="J38" s="295"/>
      <c r="K38" s="295"/>
      <c r="L38" s="295"/>
      <c r="M38" s="295"/>
      <c r="N38" s="296"/>
      <c r="O38" s="301"/>
      <c r="P38" s="308"/>
      <c r="Q38" s="308"/>
      <c r="R38" s="308"/>
      <c r="S38" s="308"/>
      <c r="T38" s="334"/>
      <c r="U38" s="303"/>
      <c r="V38" s="370"/>
      <c r="W38" s="334"/>
      <c r="X38" s="396" t="s">
        <v>680</v>
      </c>
      <c r="Y38" s="394" t="s">
        <v>179</v>
      </c>
      <c r="Z38" s="389" t="s">
        <v>65</v>
      </c>
      <c r="AA38" s="391">
        <v>0.63</v>
      </c>
      <c r="AB38" s="391">
        <v>0.83</v>
      </c>
      <c r="AC38" s="391">
        <v>0.91</v>
      </c>
      <c r="AD38" s="391">
        <v>0.93</v>
      </c>
    </row>
    <row r="39" spans="1:30" s="3" customFormat="1" x14ac:dyDescent="0.25">
      <c r="A39" s="294"/>
      <c r="B39" s="323"/>
      <c r="C39" s="294"/>
      <c r="D39" s="293"/>
      <c r="E39" s="317"/>
      <c r="F39" s="294"/>
      <c r="G39" s="294"/>
      <c r="H39" s="300"/>
      <c r="I39" s="300"/>
      <c r="J39" s="295"/>
      <c r="K39" s="295"/>
      <c r="L39" s="295"/>
      <c r="M39" s="295"/>
      <c r="N39" s="296"/>
      <c r="O39" s="301"/>
      <c r="P39" s="308"/>
      <c r="Q39" s="308"/>
      <c r="R39" s="308"/>
      <c r="S39" s="308"/>
      <c r="T39" s="334"/>
      <c r="U39" s="303"/>
      <c r="V39" s="370"/>
      <c r="W39" s="334"/>
      <c r="X39" s="397"/>
      <c r="Y39" s="403"/>
      <c r="Z39" s="402"/>
      <c r="AA39" s="401"/>
      <c r="AB39" s="401"/>
      <c r="AC39" s="401"/>
      <c r="AD39" s="401"/>
    </row>
    <row r="40" spans="1:30" s="3" customFormat="1" x14ac:dyDescent="0.25">
      <c r="A40" s="294"/>
      <c r="B40" s="323"/>
      <c r="C40" s="294"/>
      <c r="D40" s="293"/>
      <c r="E40" s="317"/>
      <c r="F40" s="294"/>
      <c r="G40" s="294"/>
      <c r="H40" s="300"/>
      <c r="I40" s="300"/>
      <c r="J40" s="295"/>
      <c r="K40" s="295"/>
      <c r="L40" s="295"/>
      <c r="M40" s="295"/>
      <c r="N40" s="296"/>
      <c r="O40" s="301"/>
      <c r="P40" s="308"/>
      <c r="Q40" s="308"/>
      <c r="R40" s="308"/>
      <c r="S40" s="308"/>
      <c r="T40" s="334"/>
      <c r="U40" s="303"/>
      <c r="V40" s="370"/>
      <c r="W40" s="334"/>
      <c r="X40" s="398"/>
      <c r="Y40" s="395"/>
      <c r="Z40" s="390"/>
      <c r="AA40" s="392"/>
      <c r="AB40" s="392"/>
      <c r="AC40" s="392"/>
      <c r="AD40" s="392"/>
    </row>
    <row r="41" spans="1:30" s="3" customFormat="1" ht="25.5" customHeight="1" x14ac:dyDescent="0.25">
      <c r="A41" s="294"/>
      <c r="B41" s="323"/>
      <c r="C41" s="294"/>
      <c r="D41" s="293"/>
      <c r="E41" s="317"/>
      <c r="F41" s="294"/>
      <c r="G41" s="294"/>
      <c r="H41" s="300"/>
      <c r="I41" s="300"/>
      <c r="J41" s="295"/>
      <c r="K41" s="295"/>
      <c r="L41" s="295"/>
      <c r="M41" s="295"/>
      <c r="N41" s="296"/>
      <c r="O41" s="301"/>
      <c r="P41" s="308"/>
      <c r="Q41" s="308"/>
      <c r="R41" s="308"/>
      <c r="S41" s="308"/>
      <c r="T41" s="334"/>
      <c r="U41" s="303"/>
      <c r="V41" s="370"/>
      <c r="W41" s="334"/>
      <c r="X41" s="404" t="s">
        <v>850</v>
      </c>
      <c r="Y41" s="393" t="s">
        <v>254</v>
      </c>
      <c r="Z41" s="393" t="s">
        <v>65</v>
      </c>
      <c r="AA41" s="318">
        <v>0.09</v>
      </c>
      <c r="AB41" s="318">
        <v>0.12</v>
      </c>
      <c r="AC41" s="318">
        <v>0.23</v>
      </c>
      <c r="AD41" s="318">
        <v>0.92</v>
      </c>
    </row>
    <row r="42" spans="1:30" s="3" customFormat="1" ht="36.75" customHeight="1" x14ac:dyDescent="0.25">
      <c r="A42" s="294"/>
      <c r="B42" s="323"/>
      <c r="C42" s="294"/>
      <c r="D42" s="293"/>
      <c r="E42" s="317"/>
      <c r="F42" s="294"/>
      <c r="G42" s="294"/>
      <c r="H42" s="300"/>
      <c r="I42" s="300"/>
      <c r="J42" s="295"/>
      <c r="K42" s="295"/>
      <c r="L42" s="295"/>
      <c r="M42" s="295"/>
      <c r="N42" s="296"/>
      <c r="O42" s="301"/>
      <c r="P42" s="308"/>
      <c r="Q42" s="308"/>
      <c r="R42" s="308"/>
      <c r="S42" s="308"/>
      <c r="T42" s="334"/>
      <c r="U42" s="303"/>
      <c r="V42" s="370"/>
      <c r="W42" s="334"/>
      <c r="X42" s="404"/>
      <c r="Y42" s="393"/>
      <c r="Z42" s="393"/>
      <c r="AA42" s="318"/>
      <c r="AB42" s="318"/>
      <c r="AC42" s="318"/>
      <c r="AD42" s="318"/>
    </row>
    <row r="43" spans="1:30" s="3" customFormat="1" ht="31.5" customHeight="1" x14ac:dyDescent="0.25">
      <c r="A43" s="294"/>
      <c r="B43" s="323"/>
      <c r="C43" s="294"/>
      <c r="D43" s="293"/>
      <c r="E43" s="317"/>
      <c r="F43" s="294"/>
      <c r="G43" s="294"/>
      <c r="H43" s="300"/>
      <c r="I43" s="300"/>
      <c r="J43" s="295"/>
      <c r="K43" s="295"/>
      <c r="L43" s="295"/>
      <c r="M43" s="295"/>
      <c r="N43" s="296"/>
      <c r="O43" s="301"/>
      <c r="P43" s="308"/>
      <c r="Q43" s="308"/>
      <c r="R43" s="308"/>
      <c r="S43" s="308"/>
      <c r="T43" s="334"/>
      <c r="U43" s="303"/>
      <c r="V43" s="370"/>
      <c r="W43" s="334"/>
      <c r="X43" s="396" t="s">
        <v>851</v>
      </c>
      <c r="Y43" s="389" t="s">
        <v>184</v>
      </c>
      <c r="Z43" s="389" t="s">
        <v>65</v>
      </c>
      <c r="AA43" s="391">
        <v>0.08</v>
      </c>
      <c r="AB43" s="391">
        <v>0.12</v>
      </c>
      <c r="AC43" s="391">
        <v>0.26</v>
      </c>
      <c r="AD43" s="391">
        <v>0.75</v>
      </c>
    </row>
    <row r="44" spans="1:30" s="3" customFormat="1" ht="41.25" customHeight="1" x14ac:dyDescent="0.25">
      <c r="A44" s="294"/>
      <c r="B44" s="323"/>
      <c r="C44" s="294"/>
      <c r="D44" s="293"/>
      <c r="E44" s="317"/>
      <c r="F44" s="294"/>
      <c r="G44" s="294"/>
      <c r="H44" s="300"/>
      <c r="I44" s="300"/>
      <c r="J44" s="295"/>
      <c r="K44" s="295"/>
      <c r="L44" s="295"/>
      <c r="M44" s="295"/>
      <c r="N44" s="296"/>
      <c r="O44" s="301"/>
      <c r="P44" s="308"/>
      <c r="Q44" s="308"/>
      <c r="R44" s="308"/>
      <c r="S44" s="308"/>
      <c r="T44" s="334"/>
      <c r="U44" s="303"/>
      <c r="V44" s="370"/>
      <c r="W44" s="334"/>
      <c r="X44" s="397"/>
      <c r="Y44" s="402"/>
      <c r="Z44" s="402"/>
      <c r="AA44" s="401"/>
      <c r="AB44" s="401"/>
      <c r="AC44" s="401"/>
      <c r="AD44" s="401"/>
    </row>
    <row r="45" spans="1:30" s="3" customFormat="1" ht="409.5" customHeight="1" x14ac:dyDescent="0.25">
      <c r="A45" s="294"/>
      <c r="B45" s="323"/>
      <c r="C45" s="294"/>
      <c r="D45" s="293"/>
      <c r="E45" s="317"/>
      <c r="F45" s="294"/>
      <c r="G45" s="294"/>
      <c r="H45" s="300"/>
      <c r="I45" s="300"/>
      <c r="J45" s="295"/>
      <c r="K45" s="295"/>
      <c r="L45" s="295"/>
      <c r="M45" s="295"/>
      <c r="N45" s="296"/>
      <c r="O45" s="301"/>
      <c r="P45" s="308"/>
      <c r="Q45" s="308"/>
      <c r="R45" s="308"/>
      <c r="S45" s="308"/>
      <c r="T45" s="334"/>
      <c r="U45" s="303"/>
      <c r="V45" s="370"/>
      <c r="W45" s="334"/>
      <c r="X45" s="176" t="s">
        <v>852</v>
      </c>
      <c r="Y45" s="181" t="s">
        <v>179</v>
      </c>
      <c r="Z45" s="181" t="s">
        <v>65</v>
      </c>
      <c r="AA45" s="175">
        <v>0.08</v>
      </c>
      <c r="AB45" s="228">
        <v>0.18</v>
      </c>
      <c r="AC45" s="228">
        <v>0.24</v>
      </c>
      <c r="AD45" s="231">
        <v>0.92</v>
      </c>
    </row>
    <row r="46" spans="1:30" s="3" customFormat="1" ht="69" customHeight="1" x14ac:dyDescent="0.25">
      <c r="A46" s="294"/>
      <c r="B46" s="323"/>
      <c r="C46" s="294" t="s">
        <v>631</v>
      </c>
      <c r="D46" s="293" t="s">
        <v>632</v>
      </c>
      <c r="E46" s="317"/>
      <c r="F46" s="294"/>
      <c r="G46" s="294"/>
      <c r="H46" s="301" t="s">
        <v>8</v>
      </c>
      <c r="I46" s="301">
        <v>0</v>
      </c>
      <c r="J46" s="297">
        <v>0.25</v>
      </c>
      <c r="K46" s="297">
        <v>0.25</v>
      </c>
      <c r="L46" s="297">
        <v>0.25</v>
      </c>
      <c r="M46" s="297">
        <v>0.25</v>
      </c>
      <c r="N46" s="298">
        <v>1</v>
      </c>
      <c r="O46" s="301" t="s">
        <v>39</v>
      </c>
      <c r="P46" s="308">
        <f>65%*0.25</f>
        <v>0.16250000000000001</v>
      </c>
      <c r="Q46" s="308">
        <f>87%*0.25</f>
        <v>0.2175</v>
      </c>
      <c r="R46" s="308">
        <f>89*0.25%</f>
        <v>0.2225</v>
      </c>
      <c r="S46" s="308">
        <f>93*0.25%</f>
        <v>0.23250000000000001</v>
      </c>
      <c r="T46" s="335" t="s">
        <v>926</v>
      </c>
      <c r="U46" s="335" t="s">
        <v>932</v>
      </c>
      <c r="V46" s="335" t="s">
        <v>967</v>
      </c>
      <c r="W46" s="384" t="s">
        <v>997</v>
      </c>
      <c r="X46" s="13" t="s">
        <v>681</v>
      </c>
      <c r="Y46" s="100" t="s">
        <v>683</v>
      </c>
      <c r="Z46" s="4" t="s">
        <v>61</v>
      </c>
      <c r="AA46" s="182">
        <v>0.52</v>
      </c>
      <c r="AB46" s="157">
        <v>0.8</v>
      </c>
      <c r="AC46" s="157">
        <v>0.83</v>
      </c>
      <c r="AD46" s="157">
        <v>0.9</v>
      </c>
    </row>
    <row r="47" spans="1:30" s="3" customFormat="1" ht="91.5" customHeight="1" x14ac:dyDescent="0.25">
      <c r="A47" s="294"/>
      <c r="B47" s="323"/>
      <c r="C47" s="294"/>
      <c r="D47" s="293"/>
      <c r="E47" s="317"/>
      <c r="F47" s="294"/>
      <c r="G47" s="294"/>
      <c r="H47" s="301"/>
      <c r="I47" s="301"/>
      <c r="J47" s="297"/>
      <c r="K47" s="297"/>
      <c r="L47" s="297"/>
      <c r="M47" s="297"/>
      <c r="N47" s="298"/>
      <c r="O47" s="301"/>
      <c r="P47" s="308"/>
      <c r="Q47" s="308"/>
      <c r="R47" s="308"/>
      <c r="S47" s="308"/>
      <c r="T47" s="335"/>
      <c r="U47" s="303"/>
      <c r="V47" s="303"/>
      <c r="W47" s="297"/>
      <c r="X47" s="130" t="s">
        <v>682</v>
      </c>
      <c r="Y47" s="100" t="s">
        <v>684</v>
      </c>
      <c r="Z47" s="4" t="s">
        <v>61</v>
      </c>
      <c r="AA47" s="182">
        <v>0.82</v>
      </c>
      <c r="AB47" s="157">
        <v>1</v>
      </c>
      <c r="AC47" s="157">
        <v>1</v>
      </c>
      <c r="AD47" s="157" t="s">
        <v>713</v>
      </c>
    </row>
    <row r="48" spans="1:30" s="3" customFormat="1" ht="78" customHeight="1" x14ac:dyDescent="0.25">
      <c r="A48" s="294"/>
      <c r="B48" s="323"/>
      <c r="C48" s="294"/>
      <c r="D48" s="293"/>
      <c r="E48" s="317"/>
      <c r="F48" s="294"/>
      <c r="G48" s="294" t="s">
        <v>16</v>
      </c>
      <c r="H48" s="301" t="s">
        <v>9</v>
      </c>
      <c r="I48" s="301">
        <v>0</v>
      </c>
      <c r="J48" s="295">
        <v>0.25</v>
      </c>
      <c r="K48" s="295">
        <v>0.25</v>
      </c>
      <c r="L48" s="295">
        <v>0.25</v>
      </c>
      <c r="M48" s="295">
        <v>0.25</v>
      </c>
      <c r="N48" s="296">
        <v>1</v>
      </c>
      <c r="O48" s="301" t="s">
        <v>40</v>
      </c>
      <c r="P48" s="308">
        <f>60%*0.25</f>
        <v>0.15</v>
      </c>
      <c r="Q48" s="333">
        <f>67%*0.25</f>
        <v>0.16750000000000001</v>
      </c>
      <c r="R48" s="308">
        <f>75*0.25%</f>
        <v>0.1875</v>
      </c>
      <c r="S48" s="308">
        <f>77*0.25%</f>
        <v>0.1925</v>
      </c>
      <c r="T48" s="303" t="s">
        <v>925</v>
      </c>
      <c r="U48" s="303" t="s">
        <v>942</v>
      </c>
      <c r="V48" s="370" t="s">
        <v>955</v>
      </c>
      <c r="W48" s="335" t="s">
        <v>977</v>
      </c>
      <c r="X48" s="199" t="s">
        <v>687</v>
      </c>
      <c r="Y48" s="100" t="s">
        <v>194</v>
      </c>
      <c r="Z48" s="181" t="s">
        <v>66</v>
      </c>
      <c r="AA48" s="198">
        <v>0.42</v>
      </c>
      <c r="AB48" s="198">
        <v>0.57999999999999996</v>
      </c>
      <c r="AC48" s="198">
        <v>0.57999999999999996</v>
      </c>
      <c r="AD48" s="198">
        <v>1</v>
      </c>
    </row>
    <row r="49" spans="1:31" s="3" customFormat="1" ht="69.75" customHeight="1" x14ac:dyDescent="0.25">
      <c r="A49" s="294"/>
      <c r="B49" s="323"/>
      <c r="C49" s="294"/>
      <c r="D49" s="293"/>
      <c r="E49" s="317"/>
      <c r="F49" s="294"/>
      <c r="G49" s="294"/>
      <c r="H49" s="301"/>
      <c r="I49" s="301"/>
      <c r="J49" s="295"/>
      <c r="K49" s="295"/>
      <c r="L49" s="295"/>
      <c r="M49" s="295"/>
      <c r="N49" s="296"/>
      <c r="O49" s="301"/>
      <c r="P49" s="308"/>
      <c r="Q49" s="333"/>
      <c r="R49" s="308"/>
      <c r="S49" s="308"/>
      <c r="T49" s="303"/>
      <c r="U49" s="303"/>
      <c r="V49" s="370"/>
      <c r="W49" s="303"/>
      <c r="X49" s="199" t="s">
        <v>853</v>
      </c>
      <c r="Y49" s="100" t="s">
        <v>854</v>
      </c>
      <c r="Z49" s="181" t="s">
        <v>655</v>
      </c>
      <c r="AA49" s="198">
        <v>0.26</v>
      </c>
      <c r="AB49" s="198">
        <v>0.43</v>
      </c>
      <c r="AC49" s="120">
        <v>0.86</v>
      </c>
      <c r="AD49" s="198">
        <v>1</v>
      </c>
    </row>
    <row r="50" spans="1:31" s="3" customFormat="1" ht="66.75" customHeight="1" x14ac:dyDescent="0.25">
      <c r="A50" s="294"/>
      <c r="B50" s="323"/>
      <c r="C50" s="294"/>
      <c r="D50" s="293"/>
      <c r="E50" s="317"/>
      <c r="F50" s="294"/>
      <c r="G50" s="294"/>
      <c r="H50" s="301"/>
      <c r="I50" s="301"/>
      <c r="J50" s="295"/>
      <c r="K50" s="295"/>
      <c r="L50" s="295"/>
      <c r="M50" s="295"/>
      <c r="N50" s="296"/>
      <c r="O50" s="301"/>
      <c r="P50" s="308"/>
      <c r="Q50" s="333"/>
      <c r="R50" s="308"/>
      <c r="S50" s="308"/>
      <c r="T50" s="303"/>
      <c r="U50" s="303"/>
      <c r="V50" s="370"/>
      <c r="W50" s="303"/>
      <c r="X50" s="199" t="s">
        <v>855</v>
      </c>
      <c r="Y50" s="100" t="s">
        <v>194</v>
      </c>
      <c r="Z50" s="181" t="s">
        <v>61</v>
      </c>
      <c r="AA50" s="198">
        <v>0.1</v>
      </c>
      <c r="AB50" s="198">
        <v>0.16</v>
      </c>
      <c r="AC50" s="198">
        <v>0.22</v>
      </c>
      <c r="AD50" s="198">
        <v>1</v>
      </c>
    </row>
    <row r="51" spans="1:31" s="3" customFormat="1" ht="345" customHeight="1" x14ac:dyDescent="0.25">
      <c r="A51" s="294"/>
      <c r="B51" s="323"/>
      <c r="C51" s="294"/>
      <c r="D51" s="293"/>
      <c r="E51" s="317"/>
      <c r="F51" s="294"/>
      <c r="G51" s="294"/>
      <c r="H51" s="301"/>
      <c r="I51" s="301"/>
      <c r="J51" s="295"/>
      <c r="K51" s="295"/>
      <c r="L51" s="295"/>
      <c r="M51" s="295"/>
      <c r="N51" s="296"/>
      <c r="O51" s="301"/>
      <c r="P51" s="308"/>
      <c r="Q51" s="333"/>
      <c r="R51" s="308"/>
      <c r="S51" s="308"/>
      <c r="T51" s="303"/>
      <c r="U51" s="303"/>
      <c r="V51" s="370"/>
      <c r="W51" s="303"/>
      <c r="X51" s="199" t="s">
        <v>856</v>
      </c>
      <c r="Y51" s="100" t="s">
        <v>467</v>
      </c>
      <c r="Z51" s="181" t="s">
        <v>857</v>
      </c>
      <c r="AA51" s="198">
        <v>0.11</v>
      </c>
      <c r="AB51" s="198">
        <v>0.21</v>
      </c>
      <c r="AC51" s="198">
        <v>0.63</v>
      </c>
      <c r="AD51" s="198">
        <v>1</v>
      </c>
    </row>
    <row r="52" spans="1:31" s="56" customFormat="1" ht="50.25" customHeight="1" x14ac:dyDescent="0.25">
      <c r="A52" s="294"/>
      <c r="B52" s="323"/>
      <c r="C52" s="294"/>
      <c r="D52" s="293"/>
      <c r="E52" s="317"/>
      <c r="F52" s="294"/>
      <c r="G52" s="294"/>
      <c r="H52" s="345" t="s">
        <v>41</v>
      </c>
      <c r="I52" s="345">
        <v>0</v>
      </c>
      <c r="J52" s="348">
        <v>0.25</v>
      </c>
      <c r="K52" s="348">
        <v>0.25</v>
      </c>
      <c r="L52" s="348">
        <v>0.25</v>
      </c>
      <c r="M52" s="348">
        <v>0.25</v>
      </c>
      <c r="N52" s="351">
        <v>1</v>
      </c>
      <c r="O52" s="364" t="s">
        <v>42</v>
      </c>
      <c r="P52" s="342">
        <f>71%*0.25</f>
        <v>0.17749999999999999</v>
      </c>
      <c r="Q52" s="342">
        <f>77%*0.25</f>
        <v>0.1925</v>
      </c>
      <c r="R52" s="342">
        <f>78*0.25%</f>
        <v>0.19500000000000001</v>
      </c>
      <c r="S52" s="342">
        <f>94*0.25%</f>
        <v>0.23500000000000001</v>
      </c>
      <c r="T52" s="330" t="s">
        <v>919</v>
      </c>
      <c r="U52" s="330" t="s">
        <v>945</v>
      </c>
      <c r="V52" s="381" t="s">
        <v>982</v>
      </c>
      <c r="W52" s="339" t="s">
        <v>983</v>
      </c>
      <c r="X52" s="54" t="s">
        <v>719</v>
      </c>
      <c r="Y52" s="100" t="s">
        <v>734</v>
      </c>
      <c r="Z52" s="100" t="s">
        <v>735</v>
      </c>
      <c r="AA52" s="157">
        <v>0.55000000000000004</v>
      </c>
      <c r="AB52" s="157">
        <v>0.68</v>
      </c>
      <c r="AC52" s="157">
        <v>0.82</v>
      </c>
      <c r="AD52" s="157">
        <v>0.86</v>
      </c>
      <c r="AE52" s="3"/>
    </row>
    <row r="53" spans="1:31" s="56" customFormat="1" ht="50.25" customHeight="1" x14ac:dyDescent="0.25">
      <c r="A53" s="294"/>
      <c r="B53" s="323"/>
      <c r="C53" s="294"/>
      <c r="D53" s="293"/>
      <c r="E53" s="317"/>
      <c r="F53" s="294"/>
      <c r="G53" s="294"/>
      <c r="H53" s="346"/>
      <c r="I53" s="346"/>
      <c r="J53" s="349"/>
      <c r="K53" s="349"/>
      <c r="L53" s="349"/>
      <c r="M53" s="349"/>
      <c r="N53" s="352"/>
      <c r="O53" s="365"/>
      <c r="P53" s="343"/>
      <c r="Q53" s="343"/>
      <c r="R53" s="343"/>
      <c r="S53" s="343"/>
      <c r="T53" s="331"/>
      <c r="U53" s="331"/>
      <c r="V53" s="382"/>
      <c r="W53" s="340"/>
      <c r="X53" s="54" t="s">
        <v>722</v>
      </c>
      <c r="Y53" s="100" t="s">
        <v>738</v>
      </c>
      <c r="Z53" s="100" t="s">
        <v>735</v>
      </c>
      <c r="AA53" s="157">
        <v>0.68</v>
      </c>
      <c r="AB53" s="157">
        <v>0.7</v>
      </c>
      <c r="AC53" s="157">
        <v>0.59</v>
      </c>
      <c r="AD53" s="157">
        <v>0.68</v>
      </c>
      <c r="AE53" s="3"/>
    </row>
    <row r="54" spans="1:31" s="56" customFormat="1" ht="50.25" customHeight="1" x14ac:dyDescent="0.25">
      <c r="A54" s="294"/>
      <c r="B54" s="323"/>
      <c r="C54" s="294"/>
      <c r="D54" s="293"/>
      <c r="E54" s="317"/>
      <c r="F54" s="294"/>
      <c r="G54" s="294"/>
      <c r="H54" s="346"/>
      <c r="I54" s="346"/>
      <c r="J54" s="349"/>
      <c r="K54" s="349"/>
      <c r="L54" s="349"/>
      <c r="M54" s="349"/>
      <c r="N54" s="352"/>
      <c r="O54" s="365"/>
      <c r="P54" s="343"/>
      <c r="Q54" s="343"/>
      <c r="R54" s="343"/>
      <c r="S54" s="343"/>
      <c r="T54" s="331"/>
      <c r="U54" s="331"/>
      <c r="V54" s="382"/>
      <c r="W54" s="340"/>
      <c r="X54" s="54" t="s">
        <v>723</v>
      </c>
      <c r="Y54" s="100" t="s">
        <v>739</v>
      </c>
      <c r="Z54" s="100" t="s">
        <v>65</v>
      </c>
      <c r="AA54" s="157">
        <v>0.5</v>
      </c>
      <c r="AB54" s="157">
        <v>0.68</v>
      </c>
      <c r="AC54" s="157">
        <v>0.76</v>
      </c>
      <c r="AD54" s="157">
        <v>0.86</v>
      </c>
      <c r="AE54" s="3"/>
    </row>
    <row r="55" spans="1:31" s="56" customFormat="1" ht="62.25" customHeight="1" x14ac:dyDescent="0.25">
      <c r="A55" s="294"/>
      <c r="B55" s="323"/>
      <c r="C55" s="294"/>
      <c r="D55" s="293"/>
      <c r="E55" s="317"/>
      <c r="F55" s="294"/>
      <c r="G55" s="294"/>
      <c r="H55" s="346"/>
      <c r="I55" s="346"/>
      <c r="J55" s="349"/>
      <c r="K55" s="349"/>
      <c r="L55" s="349"/>
      <c r="M55" s="349"/>
      <c r="N55" s="352"/>
      <c r="O55" s="365"/>
      <c r="P55" s="343"/>
      <c r="Q55" s="343"/>
      <c r="R55" s="343"/>
      <c r="S55" s="343"/>
      <c r="T55" s="331"/>
      <c r="U55" s="331"/>
      <c r="V55" s="382"/>
      <c r="W55" s="340"/>
      <c r="X55" s="54" t="s">
        <v>726</v>
      </c>
      <c r="Y55" s="100" t="s">
        <v>742</v>
      </c>
      <c r="Z55" s="100" t="s">
        <v>65</v>
      </c>
      <c r="AA55" s="157">
        <v>1</v>
      </c>
      <c r="AB55" s="186">
        <v>1</v>
      </c>
      <c r="AC55" s="157">
        <v>1</v>
      </c>
      <c r="AD55" s="157" t="s">
        <v>713</v>
      </c>
    </row>
    <row r="56" spans="1:31" s="56" customFormat="1" ht="105.75" customHeight="1" x14ac:dyDescent="0.25">
      <c r="A56" s="294"/>
      <c r="B56" s="323"/>
      <c r="C56" s="294"/>
      <c r="D56" s="293"/>
      <c r="E56" s="317"/>
      <c r="F56" s="294"/>
      <c r="G56" s="294"/>
      <c r="H56" s="346"/>
      <c r="I56" s="346"/>
      <c r="J56" s="349"/>
      <c r="K56" s="349"/>
      <c r="L56" s="349"/>
      <c r="M56" s="349"/>
      <c r="N56" s="352"/>
      <c r="O56" s="365"/>
      <c r="P56" s="343"/>
      <c r="Q56" s="343"/>
      <c r="R56" s="343"/>
      <c r="S56" s="343"/>
      <c r="T56" s="331"/>
      <c r="U56" s="331"/>
      <c r="V56" s="382"/>
      <c r="W56" s="340"/>
      <c r="X56" s="131" t="s">
        <v>799</v>
      </c>
      <c r="Y56" s="117" t="s">
        <v>800</v>
      </c>
      <c r="Z56" s="132" t="s">
        <v>732</v>
      </c>
      <c r="AA56" s="157">
        <v>0.64</v>
      </c>
      <c r="AB56" s="157">
        <v>0.64</v>
      </c>
      <c r="AC56" s="157">
        <v>0.64</v>
      </c>
      <c r="AD56" s="157">
        <v>0.75</v>
      </c>
    </row>
    <row r="57" spans="1:31" s="56" customFormat="1" ht="65.25" customHeight="1" x14ac:dyDescent="0.25">
      <c r="A57" s="294"/>
      <c r="B57" s="323"/>
      <c r="C57" s="294"/>
      <c r="D57" s="293"/>
      <c r="E57" s="317"/>
      <c r="F57" s="294"/>
      <c r="G57" s="294"/>
      <c r="H57" s="346"/>
      <c r="I57" s="346"/>
      <c r="J57" s="349"/>
      <c r="K57" s="349"/>
      <c r="L57" s="349"/>
      <c r="M57" s="349"/>
      <c r="N57" s="352"/>
      <c r="O57" s="365"/>
      <c r="P57" s="343"/>
      <c r="Q57" s="343"/>
      <c r="R57" s="343"/>
      <c r="S57" s="343"/>
      <c r="T57" s="331"/>
      <c r="U57" s="331"/>
      <c r="V57" s="382"/>
      <c r="W57" s="340"/>
      <c r="X57" s="54" t="s">
        <v>986</v>
      </c>
      <c r="Y57" s="100" t="s">
        <v>987</v>
      </c>
      <c r="Z57" s="100" t="s">
        <v>65</v>
      </c>
      <c r="AA57" s="157">
        <v>0.38</v>
      </c>
      <c r="AB57" s="157">
        <v>0.77</v>
      </c>
      <c r="AC57" s="157">
        <v>0.86</v>
      </c>
      <c r="AD57" s="157">
        <v>1</v>
      </c>
    </row>
    <row r="58" spans="1:31" s="56" customFormat="1" ht="52.5" customHeight="1" x14ac:dyDescent="0.25">
      <c r="A58" s="294"/>
      <c r="B58" s="323"/>
      <c r="C58" s="294"/>
      <c r="D58" s="293"/>
      <c r="E58" s="317"/>
      <c r="F58" s="294"/>
      <c r="G58" s="294"/>
      <c r="H58" s="346"/>
      <c r="I58" s="346"/>
      <c r="J58" s="349"/>
      <c r="K58" s="349"/>
      <c r="L58" s="349"/>
      <c r="M58" s="349"/>
      <c r="N58" s="352"/>
      <c r="O58" s="365"/>
      <c r="P58" s="343"/>
      <c r="Q58" s="343"/>
      <c r="R58" s="343"/>
      <c r="S58" s="343"/>
      <c r="T58" s="337"/>
      <c r="U58" s="337"/>
      <c r="V58" s="383"/>
      <c r="W58" s="340"/>
      <c r="X58" s="54" t="s">
        <v>993</v>
      </c>
      <c r="Y58" s="100" t="s">
        <v>858</v>
      </c>
      <c r="Z58" s="100" t="s">
        <v>65</v>
      </c>
      <c r="AA58" s="157">
        <v>0</v>
      </c>
      <c r="AB58" s="157">
        <v>0</v>
      </c>
      <c r="AC58" s="157">
        <v>0.15</v>
      </c>
      <c r="AD58" s="157">
        <v>1</v>
      </c>
    </row>
    <row r="59" spans="1:31" s="56" customFormat="1" ht="50.25" customHeight="1" x14ac:dyDescent="0.25">
      <c r="A59" s="294"/>
      <c r="B59" s="323"/>
      <c r="C59" s="294"/>
      <c r="D59" s="293"/>
      <c r="E59" s="317"/>
      <c r="F59" s="294"/>
      <c r="G59" s="294"/>
      <c r="H59" s="346"/>
      <c r="I59" s="346"/>
      <c r="J59" s="349"/>
      <c r="K59" s="349"/>
      <c r="L59" s="349"/>
      <c r="M59" s="349"/>
      <c r="N59" s="352"/>
      <c r="O59" s="365"/>
      <c r="P59" s="343"/>
      <c r="Q59" s="343"/>
      <c r="R59" s="343"/>
      <c r="S59" s="343"/>
      <c r="T59" s="337"/>
      <c r="U59" s="337"/>
      <c r="V59" s="383"/>
      <c r="W59" s="340"/>
      <c r="X59" s="54" t="s">
        <v>859</v>
      </c>
      <c r="Y59" s="100" t="s">
        <v>860</v>
      </c>
      <c r="Z59" s="100" t="s">
        <v>833</v>
      </c>
      <c r="AA59" s="157">
        <v>0.09</v>
      </c>
      <c r="AB59" s="157">
        <v>0.14000000000000001</v>
      </c>
      <c r="AC59" s="157">
        <v>0.14000000000000001</v>
      </c>
      <c r="AD59" s="157">
        <v>1</v>
      </c>
    </row>
    <row r="60" spans="1:31" s="56" customFormat="1" ht="56.25" customHeight="1" x14ac:dyDescent="0.25">
      <c r="A60" s="294"/>
      <c r="B60" s="323"/>
      <c r="C60" s="294"/>
      <c r="D60" s="293"/>
      <c r="E60" s="317"/>
      <c r="F60" s="294"/>
      <c r="G60" s="294"/>
      <c r="H60" s="346"/>
      <c r="I60" s="346"/>
      <c r="J60" s="349"/>
      <c r="K60" s="349"/>
      <c r="L60" s="349"/>
      <c r="M60" s="349"/>
      <c r="N60" s="352"/>
      <c r="O60" s="365"/>
      <c r="P60" s="343"/>
      <c r="Q60" s="343"/>
      <c r="R60" s="343"/>
      <c r="S60" s="343"/>
      <c r="T60" s="337"/>
      <c r="U60" s="337"/>
      <c r="V60" s="383"/>
      <c r="W60" s="340"/>
      <c r="X60" s="54" t="s">
        <v>861</v>
      </c>
      <c r="Y60" s="100" t="s">
        <v>862</v>
      </c>
      <c r="Z60" s="100" t="s">
        <v>655</v>
      </c>
      <c r="AA60" s="157">
        <v>0.33</v>
      </c>
      <c r="AB60" s="157">
        <v>0.6</v>
      </c>
      <c r="AC60" s="157">
        <v>0.98</v>
      </c>
      <c r="AD60" s="157">
        <v>1</v>
      </c>
    </row>
    <row r="61" spans="1:31" s="56" customFormat="1" ht="43.5" customHeight="1" x14ac:dyDescent="0.25">
      <c r="A61" s="294"/>
      <c r="B61" s="323"/>
      <c r="C61" s="294"/>
      <c r="D61" s="293"/>
      <c r="E61" s="317"/>
      <c r="F61" s="294"/>
      <c r="G61" s="294"/>
      <c r="H61" s="346"/>
      <c r="I61" s="346"/>
      <c r="J61" s="349"/>
      <c r="K61" s="349"/>
      <c r="L61" s="349"/>
      <c r="M61" s="349"/>
      <c r="N61" s="352"/>
      <c r="O61" s="365"/>
      <c r="P61" s="343"/>
      <c r="Q61" s="343"/>
      <c r="R61" s="343"/>
      <c r="S61" s="343"/>
      <c r="T61" s="337"/>
      <c r="U61" s="337"/>
      <c r="V61" s="383"/>
      <c r="W61" s="340"/>
      <c r="X61" s="54" t="s">
        <v>863</v>
      </c>
      <c r="Y61" s="100" t="s">
        <v>864</v>
      </c>
      <c r="Z61" s="100" t="s">
        <v>61</v>
      </c>
      <c r="AA61" s="200">
        <v>0.13</v>
      </c>
      <c r="AB61" s="200">
        <v>0.25</v>
      </c>
      <c r="AC61" s="200">
        <v>0.34</v>
      </c>
      <c r="AD61" s="200">
        <v>1</v>
      </c>
    </row>
    <row r="62" spans="1:31" s="56" customFormat="1" ht="84" customHeight="1" x14ac:dyDescent="0.25">
      <c r="A62" s="294"/>
      <c r="B62" s="323"/>
      <c r="C62" s="294"/>
      <c r="D62" s="293"/>
      <c r="E62" s="317"/>
      <c r="F62" s="294"/>
      <c r="G62" s="294"/>
      <c r="H62" s="346"/>
      <c r="I62" s="346"/>
      <c r="J62" s="349"/>
      <c r="K62" s="349"/>
      <c r="L62" s="349"/>
      <c r="M62" s="349"/>
      <c r="N62" s="352"/>
      <c r="O62" s="365"/>
      <c r="P62" s="343"/>
      <c r="Q62" s="343"/>
      <c r="R62" s="343"/>
      <c r="S62" s="343"/>
      <c r="T62" s="337"/>
      <c r="U62" s="337"/>
      <c r="V62" s="383"/>
      <c r="W62" s="340"/>
      <c r="X62" s="54" t="s">
        <v>956</v>
      </c>
      <c r="Y62" s="100" t="s">
        <v>957</v>
      </c>
      <c r="Z62" s="100" t="s">
        <v>61</v>
      </c>
      <c r="AA62" s="157" t="s">
        <v>609</v>
      </c>
      <c r="AB62" s="157" t="s">
        <v>609</v>
      </c>
      <c r="AC62" s="157">
        <v>0.46</v>
      </c>
      <c r="AD62" s="157">
        <v>0.46</v>
      </c>
    </row>
    <row r="63" spans="1:31" s="3" customFormat="1" ht="58.5" customHeight="1" x14ac:dyDescent="0.25">
      <c r="A63" s="294"/>
      <c r="B63" s="323"/>
      <c r="C63" s="294"/>
      <c r="D63" s="293"/>
      <c r="E63" s="317"/>
      <c r="F63" s="294"/>
      <c r="G63" s="294"/>
      <c r="H63" s="300" t="s">
        <v>10</v>
      </c>
      <c r="I63" s="300">
        <v>0</v>
      </c>
      <c r="J63" s="295">
        <v>0.25</v>
      </c>
      <c r="K63" s="295">
        <v>0.25</v>
      </c>
      <c r="L63" s="295">
        <v>0.25</v>
      </c>
      <c r="M63" s="295">
        <v>0.25</v>
      </c>
      <c r="N63" s="296">
        <v>1</v>
      </c>
      <c r="O63" s="301" t="s">
        <v>43</v>
      </c>
      <c r="P63" s="308">
        <f>42%*0.25</f>
        <v>0.105</v>
      </c>
      <c r="Q63" s="308">
        <f>53%*0.25</f>
        <v>0.13250000000000001</v>
      </c>
      <c r="R63" s="308">
        <f>61*0.25%</f>
        <v>0.1525</v>
      </c>
      <c r="S63" s="308">
        <f>83*0.25%</f>
        <v>0.20750000000000002</v>
      </c>
      <c r="T63" s="303" t="s">
        <v>920</v>
      </c>
      <c r="U63" s="303" t="s">
        <v>933</v>
      </c>
      <c r="V63" s="370" t="s">
        <v>968</v>
      </c>
      <c r="W63" s="335" t="s">
        <v>998</v>
      </c>
      <c r="X63" s="13" t="s">
        <v>689</v>
      </c>
      <c r="Y63" s="100" t="s">
        <v>691</v>
      </c>
      <c r="Z63" s="4" t="s">
        <v>63</v>
      </c>
      <c r="AA63" s="157">
        <v>0.88</v>
      </c>
      <c r="AB63" s="157">
        <v>1</v>
      </c>
      <c r="AC63" s="157" t="s">
        <v>609</v>
      </c>
      <c r="AD63" s="157" t="s">
        <v>609</v>
      </c>
      <c r="AE63" s="56"/>
    </row>
    <row r="64" spans="1:31" s="3" customFormat="1" ht="56.25" customHeight="1" x14ac:dyDescent="0.25">
      <c r="A64" s="294"/>
      <c r="B64" s="323"/>
      <c r="C64" s="294"/>
      <c r="D64" s="293"/>
      <c r="E64" s="317"/>
      <c r="F64" s="294"/>
      <c r="G64" s="294"/>
      <c r="H64" s="300"/>
      <c r="I64" s="300"/>
      <c r="J64" s="295"/>
      <c r="K64" s="295"/>
      <c r="L64" s="295"/>
      <c r="M64" s="295"/>
      <c r="N64" s="296"/>
      <c r="O64" s="301"/>
      <c r="P64" s="308"/>
      <c r="Q64" s="308"/>
      <c r="R64" s="308"/>
      <c r="S64" s="308"/>
      <c r="T64" s="303"/>
      <c r="U64" s="303"/>
      <c r="V64" s="370"/>
      <c r="W64" s="303"/>
      <c r="X64" s="13" t="s">
        <v>994</v>
      </c>
      <c r="Y64" s="100" t="s">
        <v>865</v>
      </c>
      <c r="Z64" s="181" t="s">
        <v>63</v>
      </c>
      <c r="AA64" s="157">
        <v>0.1</v>
      </c>
      <c r="AB64" s="157">
        <v>0.52</v>
      </c>
      <c r="AC64" s="157">
        <v>0.68</v>
      </c>
      <c r="AD64" s="157">
        <v>1</v>
      </c>
      <c r="AE64" s="56"/>
    </row>
    <row r="65" spans="1:31" s="3" customFormat="1" ht="53.25" customHeight="1" x14ac:dyDescent="0.25">
      <c r="A65" s="294"/>
      <c r="B65" s="323"/>
      <c r="C65" s="294"/>
      <c r="D65" s="293"/>
      <c r="E65" s="317"/>
      <c r="F65" s="294"/>
      <c r="G65" s="294"/>
      <c r="H65" s="300"/>
      <c r="I65" s="300"/>
      <c r="J65" s="295"/>
      <c r="K65" s="295"/>
      <c r="L65" s="295"/>
      <c r="M65" s="295"/>
      <c r="N65" s="296"/>
      <c r="O65" s="301"/>
      <c r="P65" s="308"/>
      <c r="Q65" s="308"/>
      <c r="R65" s="308"/>
      <c r="S65" s="308"/>
      <c r="T65" s="303"/>
      <c r="U65" s="303"/>
      <c r="V65" s="370"/>
      <c r="W65" s="303"/>
      <c r="X65" s="13" t="s">
        <v>866</v>
      </c>
      <c r="Y65" s="100" t="s">
        <v>867</v>
      </c>
      <c r="Z65" s="4" t="s">
        <v>834</v>
      </c>
      <c r="AA65" s="157">
        <v>0.16</v>
      </c>
      <c r="AB65" s="157">
        <v>0.34</v>
      </c>
      <c r="AC65" s="157">
        <v>0.47</v>
      </c>
      <c r="AD65" s="157">
        <v>1</v>
      </c>
      <c r="AE65" s="56"/>
    </row>
    <row r="66" spans="1:31" s="3" customFormat="1" ht="117" customHeight="1" x14ac:dyDescent="0.25">
      <c r="A66" s="294"/>
      <c r="B66" s="323"/>
      <c r="C66" s="294"/>
      <c r="D66" s="293"/>
      <c r="E66" s="317"/>
      <c r="F66" s="294"/>
      <c r="G66" s="294"/>
      <c r="H66" s="300"/>
      <c r="I66" s="300"/>
      <c r="J66" s="295"/>
      <c r="K66" s="295"/>
      <c r="L66" s="295"/>
      <c r="M66" s="295"/>
      <c r="N66" s="296"/>
      <c r="O66" s="301"/>
      <c r="P66" s="308"/>
      <c r="Q66" s="308"/>
      <c r="R66" s="308"/>
      <c r="S66" s="308"/>
      <c r="T66" s="303"/>
      <c r="U66" s="303"/>
      <c r="V66" s="370"/>
      <c r="W66" s="303"/>
      <c r="X66" s="13" t="s">
        <v>868</v>
      </c>
      <c r="Y66" s="100" t="s">
        <v>988</v>
      </c>
      <c r="Z66" s="4" t="s">
        <v>65</v>
      </c>
      <c r="AA66" s="157">
        <v>0.16</v>
      </c>
      <c r="AB66" s="157">
        <v>0.28000000000000003</v>
      </c>
      <c r="AC66" s="157">
        <v>0.4</v>
      </c>
      <c r="AD66" s="157">
        <v>0.83</v>
      </c>
    </row>
    <row r="67" spans="1:31" s="3" customFormat="1" ht="56.25" customHeight="1" x14ac:dyDescent="0.25">
      <c r="A67" s="321" t="s">
        <v>635</v>
      </c>
      <c r="B67" s="321" t="s">
        <v>635</v>
      </c>
      <c r="C67" s="294" t="s">
        <v>636</v>
      </c>
      <c r="D67" s="293" t="s">
        <v>637</v>
      </c>
      <c r="E67" s="317" t="s">
        <v>31</v>
      </c>
      <c r="F67" s="294" t="s">
        <v>11</v>
      </c>
      <c r="G67" s="294" t="s">
        <v>12</v>
      </c>
      <c r="H67" s="301" t="s">
        <v>13</v>
      </c>
      <c r="I67" s="301">
        <v>0</v>
      </c>
      <c r="J67" s="297">
        <v>0.25</v>
      </c>
      <c r="K67" s="297">
        <v>0.25</v>
      </c>
      <c r="L67" s="297">
        <v>0.25</v>
      </c>
      <c r="M67" s="297">
        <v>0.25</v>
      </c>
      <c r="N67" s="295">
        <v>1</v>
      </c>
      <c r="O67" s="301" t="s">
        <v>44</v>
      </c>
      <c r="P67" s="296">
        <f>80%*0.25</f>
        <v>0.2</v>
      </c>
      <c r="Q67" s="296">
        <f>86%*0.25</f>
        <v>0.215</v>
      </c>
      <c r="R67" s="296">
        <f>91*0.25%</f>
        <v>0.22750000000000001</v>
      </c>
      <c r="S67" s="296">
        <f>99*0.25%</f>
        <v>0.2475</v>
      </c>
      <c r="T67" s="330" t="s">
        <v>921</v>
      </c>
      <c r="U67" s="303" t="s">
        <v>934</v>
      </c>
      <c r="V67" s="371" t="s">
        <v>958</v>
      </c>
      <c r="W67" s="336" t="s">
        <v>1003</v>
      </c>
      <c r="X67" s="13" t="s">
        <v>869</v>
      </c>
      <c r="Y67" s="13" t="s">
        <v>870</v>
      </c>
      <c r="Z67" s="4" t="s">
        <v>833</v>
      </c>
      <c r="AA67" s="157">
        <v>0.26</v>
      </c>
      <c r="AB67" s="157">
        <v>0.48</v>
      </c>
      <c r="AC67" s="157">
        <v>0.95</v>
      </c>
      <c r="AD67" s="157">
        <v>1</v>
      </c>
    </row>
    <row r="68" spans="1:31" s="3" customFormat="1" ht="57.75" customHeight="1" x14ac:dyDescent="0.25">
      <c r="A68" s="321"/>
      <c r="B68" s="321"/>
      <c r="C68" s="294"/>
      <c r="D68" s="293"/>
      <c r="E68" s="317"/>
      <c r="F68" s="294"/>
      <c r="G68" s="294"/>
      <c r="H68" s="301"/>
      <c r="I68" s="301"/>
      <c r="J68" s="297"/>
      <c r="K68" s="297"/>
      <c r="L68" s="297"/>
      <c r="M68" s="297"/>
      <c r="N68" s="295"/>
      <c r="O68" s="301"/>
      <c r="P68" s="296"/>
      <c r="Q68" s="296"/>
      <c r="R68" s="296"/>
      <c r="S68" s="296"/>
      <c r="T68" s="331"/>
      <c r="U68" s="303"/>
      <c r="V68" s="370"/>
      <c r="W68" s="336"/>
      <c r="X68" s="13" t="s">
        <v>871</v>
      </c>
      <c r="Y68" s="13" t="s">
        <v>872</v>
      </c>
      <c r="Z68" s="4" t="s">
        <v>70</v>
      </c>
      <c r="AA68" s="163">
        <v>0.19</v>
      </c>
      <c r="AB68" s="163">
        <v>0.52</v>
      </c>
      <c r="AC68" s="163">
        <v>0.56999999999999995</v>
      </c>
      <c r="AD68" s="163">
        <v>1</v>
      </c>
    </row>
    <row r="69" spans="1:31" s="3" customFormat="1" ht="195" customHeight="1" x14ac:dyDescent="0.25">
      <c r="A69" s="321"/>
      <c r="B69" s="321"/>
      <c r="C69" s="294"/>
      <c r="D69" s="293"/>
      <c r="E69" s="317"/>
      <c r="F69" s="294"/>
      <c r="G69" s="294"/>
      <c r="H69" s="301"/>
      <c r="I69" s="301"/>
      <c r="J69" s="297"/>
      <c r="K69" s="297"/>
      <c r="L69" s="297"/>
      <c r="M69" s="297"/>
      <c r="N69" s="295"/>
      <c r="O69" s="301"/>
      <c r="P69" s="296"/>
      <c r="Q69" s="296"/>
      <c r="R69" s="296"/>
      <c r="S69" s="296"/>
      <c r="T69" s="360"/>
      <c r="U69" s="303"/>
      <c r="V69" s="370"/>
      <c r="W69" s="336"/>
      <c r="X69" s="13" t="s">
        <v>873</v>
      </c>
      <c r="Y69" s="13" t="s">
        <v>874</v>
      </c>
      <c r="Z69" s="4" t="s">
        <v>62</v>
      </c>
      <c r="AA69" s="163">
        <v>0.14000000000000001</v>
      </c>
      <c r="AB69" s="163">
        <v>0.21</v>
      </c>
      <c r="AC69" s="163">
        <v>0.31</v>
      </c>
      <c r="AD69" s="163">
        <v>1</v>
      </c>
    </row>
    <row r="70" spans="1:31" s="3" customFormat="1" ht="60" customHeight="1" x14ac:dyDescent="0.25">
      <c r="A70" s="321"/>
      <c r="B70" s="321"/>
      <c r="C70" s="294"/>
      <c r="D70" s="150" t="s">
        <v>638</v>
      </c>
      <c r="E70" s="317"/>
      <c r="F70" s="294"/>
      <c r="G70" s="294" t="s">
        <v>15</v>
      </c>
      <c r="H70" s="301" t="s">
        <v>17</v>
      </c>
      <c r="I70" s="301">
        <v>0</v>
      </c>
      <c r="J70" s="297">
        <v>0.25</v>
      </c>
      <c r="K70" s="297">
        <v>0.25</v>
      </c>
      <c r="L70" s="297">
        <v>0.25</v>
      </c>
      <c r="M70" s="297">
        <v>0.25</v>
      </c>
      <c r="N70" s="295">
        <v>1</v>
      </c>
      <c r="O70" s="301" t="s">
        <v>45</v>
      </c>
      <c r="P70" s="296">
        <f>66%*0.25</f>
        <v>0.16500000000000001</v>
      </c>
      <c r="Q70" s="296">
        <f>68%*0.25</f>
        <v>0.17</v>
      </c>
      <c r="R70" s="296">
        <f>89*0.25%</f>
        <v>0.2225</v>
      </c>
      <c r="S70" s="296">
        <f>98*0.25%</f>
        <v>0.245</v>
      </c>
      <c r="T70" s="303" t="s">
        <v>979</v>
      </c>
      <c r="U70" s="303" t="s">
        <v>940</v>
      </c>
      <c r="V70" s="370" t="s">
        <v>969</v>
      </c>
      <c r="W70" s="336" t="s">
        <v>999</v>
      </c>
      <c r="X70" s="13" t="s">
        <v>695</v>
      </c>
      <c r="Y70" s="100" t="s">
        <v>705</v>
      </c>
      <c r="Z70" s="4" t="s">
        <v>660</v>
      </c>
      <c r="AA70" s="157">
        <v>0.8</v>
      </c>
      <c r="AB70" s="157">
        <v>0.83</v>
      </c>
      <c r="AC70" s="157">
        <v>0.92</v>
      </c>
      <c r="AD70" s="157">
        <v>1</v>
      </c>
    </row>
    <row r="71" spans="1:31" s="3" customFormat="1" ht="60" customHeight="1" x14ac:dyDescent="0.25">
      <c r="A71" s="321"/>
      <c r="B71" s="321"/>
      <c r="C71" s="294"/>
      <c r="D71" s="293" t="s">
        <v>639</v>
      </c>
      <c r="E71" s="317"/>
      <c r="F71" s="294"/>
      <c r="G71" s="294"/>
      <c r="H71" s="301"/>
      <c r="I71" s="301"/>
      <c r="J71" s="297"/>
      <c r="K71" s="297"/>
      <c r="L71" s="297"/>
      <c r="M71" s="297"/>
      <c r="N71" s="295"/>
      <c r="O71" s="301"/>
      <c r="P71" s="296"/>
      <c r="Q71" s="296"/>
      <c r="R71" s="296"/>
      <c r="S71" s="296"/>
      <c r="T71" s="303"/>
      <c r="U71" s="303"/>
      <c r="V71" s="370"/>
      <c r="W71" s="297"/>
      <c r="X71" s="13" t="s">
        <v>697</v>
      </c>
      <c r="Y71" s="100" t="s">
        <v>707</v>
      </c>
      <c r="Z71" s="4" t="s">
        <v>330</v>
      </c>
      <c r="AA71" s="157">
        <v>1</v>
      </c>
      <c r="AB71" s="186">
        <v>1</v>
      </c>
      <c r="AC71" s="157" t="s">
        <v>609</v>
      </c>
      <c r="AD71" s="157" t="s">
        <v>609</v>
      </c>
    </row>
    <row r="72" spans="1:31" s="3" customFormat="1" ht="42.75" customHeight="1" x14ac:dyDescent="0.25">
      <c r="A72" s="321"/>
      <c r="B72" s="321"/>
      <c r="C72" s="294"/>
      <c r="D72" s="293"/>
      <c r="E72" s="317"/>
      <c r="F72" s="294"/>
      <c r="G72" s="294"/>
      <c r="H72" s="301"/>
      <c r="I72" s="301"/>
      <c r="J72" s="297"/>
      <c r="K72" s="297"/>
      <c r="L72" s="297"/>
      <c r="M72" s="297"/>
      <c r="N72" s="295"/>
      <c r="O72" s="301"/>
      <c r="P72" s="296"/>
      <c r="Q72" s="296"/>
      <c r="R72" s="296"/>
      <c r="S72" s="296"/>
      <c r="T72" s="303"/>
      <c r="U72" s="303"/>
      <c r="V72" s="370"/>
      <c r="W72" s="297"/>
      <c r="X72" s="13" t="s">
        <v>699</v>
      </c>
      <c r="Y72" s="100" t="s">
        <v>708</v>
      </c>
      <c r="Z72" s="4" t="s">
        <v>700</v>
      </c>
      <c r="AA72" s="157">
        <v>0.21</v>
      </c>
      <c r="AB72" s="157">
        <v>0.21</v>
      </c>
      <c r="AC72" s="157" t="s">
        <v>959</v>
      </c>
      <c r="AD72" s="216" t="s">
        <v>959</v>
      </c>
    </row>
    <row r="73" spans="1:31" s="3" customFormat="1" ht="42" customHeight="1" x14ac:dyDescent="0.25">
      <c r="A73" s="321"/>
      <c r="B73" s="321"/>
      <c r="C73" s="294"/>
      <c r="D73" s="150" t="s">
        <v>640</v>
      </c>
      <c r="E73" s="317"/>
      <c r="F73" s="294"/>
      <c r="G73" s="294"/>
      <c r="H73" s="301"/>
      <c r="I73" s="301"/>
      <c r="J73" s="297"/>
      <c r="K73" s="297"/>
      <c r="L73" s="297"/>
      <c r="M73" s="297"/>
      <c r="N73" s="295"/>
      <c r="O73" s="301"/>
      <c r="P73" s="300"/>
      <c r="Q73" s="296"/>
      <c r="R73" s="300"/>
      <c r="S73" s="300"/>
      <c r="T73" s="303"/>
      <c r="U73" s="303"/>
      <c r="V73" s="370"/>
      <c r="W73" s="297"/>
      <c r="X73" s="13" t="s">
        <v>875</v>
      </c>
      <c r="Y73" s="100" t="s">
        <v>876</v>
      </c>
      <c r="Z73" s="4" t="s">
        <v>700</v>
      </c>
      <c r="AA73" s="157">
        <v>0</v>
      </c>
      <c r="AB73" s="157">
        <v>0</v>
      </c>
      <c r="AC73" s="157" t="s">
        <v>959</v>
      </c>
      <c r="AD73" s="216" t="s">
        <v>959</v>
      </c>
    </row>
    <row r="74" spans="1:31" s="3" customFormat="1" ht="51.75" customHeight="1" x14ac:dyDescent="0.25">
      <c r="A74" s="321"/>
      <c r="B74" s="321"/>
      <c r="C74" s="294"/>
      <c r="D74" s="160"/>
      <c r="E74" s="317"/>
      <c r="F74" s="294"/>
      <c r="G74" s="159"/>
      <c r="H74" s="301"/>
      <c r="I74" s="301"/>
      <c r="J74" s="297"/>
      <c r="K74" s="297"/>
      <c r="L74" s="297"/>
      <c r="M74" s="297"/>
      <c r="N74" s="295"/>
      <c r="O74" s="301"/>
      <c r="P74" s="300"/>
      <c r="Q74" s="296"/>
      <c r="R74" s="300"/>
      <c r="S74" s="300"/>
      <c r="T74" s="303"/>
      <c r="U74" s="303"/>
      <c r="V74" s="370"/>
      <c r="W74" s="297"/>
      <c r="X74" s="13" t="s">
        <v>877</v>
      </c>
      <c r="Y74" s="100" t="s">
        <v>709</v>
      </c>
      <c r="Z74" s="4" t="s">
        <v>700</v>
      </c>
      <c r="AA74" s="163">
        <v>0.09</v>
      </c>
      <c r="AB74" s="163">
        <v>0.28999999999999998</v>
      </c>
      <c r="AC74" s="163">
        <v>0.41</v>
      </c>
      <c r="AD74" s="163">
        <v>0.87</v>
      </c>
    </row>
    <row r="75" spans="1:31" s="3" customFormat="1" ht="52.5" customHeight="1" x14ac:dyDescent="0.25">
      <c r="A75" s="321"/>
      <c r="B75" s="321"/>
      <c r="C75" s="294"/>
      <c r="D75" s="150" t="s">
        <v>641</v>
      </c>
      <c r="E75" s="317"/>
      <c r="F75" s="294"/>
      <c r="G75" s="151" t="s">
        <v>49</v>
      </c>
      <c r="H75" s="301"/>
      <c r="I75" s="301"/>
      <c r="J75" s="297"/>
      <c r="K75" s="297"/>
      <c r="L75" s="297"/>
      <c r="M75" s="297"/>
      <c r="N75" s="295"/>
      <c r="O75" s="301"/>
      <c r="P75" s="300"/>
      <c r="Q75" s="296"/>
      <c r="R75" s="300"/>
      <c r="S75" s="300"/>
      <c r="T75" s="303"/>
      <c r="U75" s="303"/>
      <c r="V75" s="370"/>
      <c r="W75" s="297"/>
      <c r="X75" s="13" t="s">
        <v>878</v>
      </c>
      <c r="Y75" s="100" t="s">
        <v>879</v>
      </c>
      <c r="Z75" s="4" t="s">
        <v>700</v>
      </c>
      <c r="AA75" s="157">
        <v>0</v>
      </c>
      <c r="AB75" s="157">
        <v>0</v>
      </c>
      <c r="AC75" s="157" t="s">
        <v>959</v>
      </c>
      <c r="AD75" s="216" t="s">
        <v>959</v>
      </c>
    </row>
    <row r="76" spans="1:31" s="3" customFormat="1" ht="75" customHeight="1" x14ac:dyDescent="0.25">
      <c r="A76" s="321"/>
      <c r="B76" s="321"/>
      <c r="C76" s="357" t="s">
        <v>645</v>
      </c>
      <c r="D76" s="357" t="s">
        <v>646</v>
      </c>
      <c r="E76" s="378" t="s">
        <v>31</v>
      </c>
      <c r="F76" s="357" t="s">
        <v>18</v>
      </c>
      <c r="G76" s="357" t="s">
        <v>19</v>
      </c>
      <c r="H76" s="345" t="s">
        <v>50</v>
      </c>
      <c r="I76" s="345">
        <v>0</v>
      </c>
      <c r="J76" s="348">
        <v>0.25</v>
      </c>
      <c r="K76" s="348">
        <v>0.25</v>
      </c>
      <c r="L76" s="348">
        <v>0.25</v>
      </c>
      <c r="M76" s="348">
        <v>0.25</v>
      </c>
      <c r="N76" s="351">
        <v>1</v>
      </c>
      <c r="O76" s="364" t="s">
        <v>53</v>
      </c>
      <c r="P76" s="342">
        <f>77%*0.25</f>
        <v>0.1925</v>
      </c>
      <c r="Q76" s="342">
        <f>81%*0.25</f>
        <v>0.20250000000000001</v>
      </c>
      <c r="R76" s="342">
        <f>66*0.25%</f>
        <v>0.16500000000000001</v>
      </c>
      <c r="S76" s="342">
        <f>88*0.25%</f>
        <v>0.22</v>
      </c>
      <c r="T76" s="330" t="s">
        <v>928</v>
      </c>
      <c r="U76" s="330">
        <v>0</v>
      </c>
      <c r="V76" s="330" t="s">
        <v>970</v>
      </c>
      <c r="W76" s="339" t="s">
        <v>984</v>
      </c>
      <c r="X76" s="130" t="s">
        <v>785</v>
      </c>
      <c r="Y76" s="4" t="s">
        <v>791</v>
      </c>
      <c r="Z76" s="4" t="s">
        <v>69</v>
      </c>
      <c r="AA76" s="157">
        <v>0.95</v>
      </c>
      <c r="AB76" s="157">
        <v>0.95</v>
      </c>
      <c r="AC76" s="157">
        <v>1</v>
      </c>
      <c r="AD76" s="157" t="s">
        <v>713</v>
      </c>
    </row>
    <row r="77" spans="1:31" s="3" customFormat="1" ht="60.75" customHeight="1" x14ac:dyDescent="0.25">
      <c r="A77" s="321"/>
      <c r="B77" s="321"/>
      <c r="C77" s="358"/>
      <c r="D77" s="358"/>
      <c r="E77" s="379"/>
      <c r="F77" s="358"/>
      <c r="G77" s="358"/>
      <c r="H77" s="346"/>
      <c r="I77" s="346"/>
      <c r="J77" s="349"/>
      <c r="K77" s="349"/>
      <c r="L77" s="349"/>
      <c r="M77" s="349"/>
      <c r="N77" s="352"/>
      <c r="O77" s="365"/>
      <c r="P77" s="343"/>
      <c r="Q77" s="343"/>
      <c r="R77" s="343"/>
      <c r="S77" s="343"/>
      <c r="T77" s="331"/>
      <c r="U77" s="331"/>
      <c r="V77" s="331"/>
      <c r="W77" s="340"/>
      <c r="X77" s="130" t="s">
        <v>880</v>
      </c>
      <c r="Y77" s="4" t="s">
        <v>881</v>
      </c>
      <c r="Z77" s="4" t="s">
        <v>882</v>
      </c>
      <c r="AA77" s="163">
        <v>0.22</v>
      </c>
      <c r="AB77" s="163">
        <v>0.33</v>
      </c>
      <c r="AC77" s="163">
        <v>0.67</v>
      </c>
      <c r="AD77" s="163">
        <v>1</v>
      </c>
    </row>
    <row r="78" spans="1:31" s="3" customFormat="1" ht="107.25" customHeight="1" x14ac:dyDescent="0.25">
      <c r="A78" s="321"/>
      <c r="B78" s="321"/>
      <c r="C78" s="358"/>
      <c r="D78" s="358"/>
      <c r="E78" s="379"/>
      <c r="F78" s="358"/>
      <c r="G78" s="358"/>
      <c r="H78" s="346"/>
      <c r="I78" s="346"/>
      <c r="J78" s="349"/>
      <c r="K78" s="349"/>
      <c r="L78" s="349"/>
      <c r="M78" s="349"/>
      <c r="N78" s="352"/>
      <c r="O78" s="365"/>
      <c r="P78" s="343"/>
      <c r="Q78" s="343"/>
      <c r="R78" s="343"/>
      <c r="S78" s="343"/>
      <c r="T78" s="331"/>
      <c r="U78" s="331"/>
      <c r="V78" s="331"/>
      <c r="W78" s="340"/>
      <c r="X78" s="130" t="s">
        <v>989</v>
      </c>
      <c r="Y78" s="4" t="s">
        <v>883</v>
      </c>
      <c r="Z78" s="4" t="s">
        <v>882</v>
      </c>
      <c r="AA78" s="163">
        <v>0</v>
      </c>
      <c r="AB78" s="163">
        <v>0.08</v>
      </c>
      <c r="AC78" s="163" t="s">
        <v>959</v>
      </c>
      <c r="AD78" s="228" t="s">
        <v>959</v>
      </c>
    </row>
    <row r="79" spans="1:31" s="3" customFormat="1" ht="59.25" customHeight="1" x14ac:dyDescent="0.25">
      <c r="A79" s="321"/>
      <c r="B79" s="321"/>
      <c r="C79" s="358"/>
      <c r="D79" s="358"/>
      <c r="E79" s="379"/>
      <c r="F79" s="358"/>
      <c r="G79" s="358"/>
      <c r="H79" s="346"/>
      <c r="I79" s="346"/>
      <c r="J79" s="349"/>
      <c r="K79" s="349"/>
      <c r="L79" s="349"/>
      <c r="M79" s="349"/>
      <c r="N79" s="352"/>
      <c r="O79" s="365"/>
      <c r="P79" s="343"/>
      <c r="Q79" s="343"/>
      <c r="R79" s="343"/>
      <c r="S79" s="343"/>
      <c r="T79" s="331"/>
      <c r="U79" s="331"/>
      <c r="V79" s="331"/>
      <c r="W79" s="340"/>
      <c r="X79" s="130" t="s">
        <v>884</v>
      </c>
      <c r="Y79" s="4" t="s">
        <v>885</v>
      </c>
      <c r="Z79" s="181" t="s">
        <v>882</v>
      </c>
      <c r="AA79" s="163">
        <v>0.31</v>
      </c>
      <c r="AB79" s="163">
        <v>0.37</v>
      </c>
      <c r="AC79" s="163">
        <v>0.33</v>
      </c>
      <c r="AD79" s="228">
        <v>0.62</v>
      </c>
    </row>
    <row r="80" spans="1:31" s="3" customFormat="1" ht="116.25" customHeight="1" x14ac:dyDescent="0.25">
      <c r="A80" s="321"/>
      <c r="B80" s="321"/>
      <c r="C80" s="358"/>
      <c r="D80" s="358"/>
      <c r="E80" s="379"/>
      <c r="F80" s="358"/>
      <c r="G80" s="358"/>
      <c r="H80" s="346"/>
      <c r="I80" s="346"/>
      <c r="J80" s="349"/>
      <c r="K80" s="349"/>
      <c r="L80" s="349"/>
      <c r="M80" s="349"/>
      <c r="N80" s="352"/>
      <c r="O80" s="365"/>
      <c r="P80" s="343"/>
      <c r="Q80" s="343"/>
      <c r="R80" s="343"/>
      <c r="S80" s="343"/>
      <c r="T80" s="331"/>
      <c r="U80" s="331"/>
      <c r="V80" s="331"/>
      <c r="W80" s="340"/>
      <c r="X80" s="130" t="s">
        <v>887</v>
      </c>
      <c r="Y80" s="181" t="s">
        <v>888</v>
      </c>
      <c r="Z80" s="181" t="s">
        <v>882</v>
      </c>
      <c r="AA80" s="188">
        <v>0.23</v>
      </c>
      <c r="AB80" s="202">
        <v>0.49</v>
      </c>
      <c r="AC80" s="202">
        <v>0.42</v>
      </c>
      <c r="AD80" s="202">
        <v>1</v>
      </c>
    </row>
    <row r="81" spans="1:30" s="3" customFormat="1" ht="91.5" customHeight="1" x14ac:dyDescent="0.25">
      <c r="A81" s="321"/>
      <c r="B81" s="321"/>
      <c r="C81" s="358"/>
      <c r="D81" s="358"/>
      <c r="E81" s="379"/>
      <c r="F81" s="358"/>
      <c r="G81" s="358"/>
      <c r="H81" s="346"/>
      <c r="I81" s="346"/>
      <c r="J81" s="349"/>
      <c r="K81" s="349"/>
      <c r="L81" s="349"/>
      <c r="M81" s="349"/>
      <c r="N81" s="352"/>
      <c r="O81" s="365"/>
      <c r="P81" s="343"/>
      <c r="Q81" s="343"/>
      <c r="R81" s="343"/>
      <c r="S81" s="343"/>
      <c r="T81" s="331"/>
      <c r="U81" s="331"/>
      <c r="V81" s="331"/>
      <c r="W81" s="340"/>
      <c r="X81" s="130" t="s">
        <v>990</v>
      </c>
      <c r="Y81" s="181" t="s">
        <v>889</v>
      </c>
      <c r="Z81" s="181" t="s">
        <v>882</v>
      </c>
      <c r="AA81" s="188">
        <v>0.06</v>
      </c>
      <c r="AB81" s="202">
        <v>0.09</v>
      </c>
      <c r="AC81" s="228">
        <v>0.89</v>
      </c>
      <c r="AD81" s="202">
        <v>1</v>
      </c>
    </row>
    <row r="82" spans="1:30" s="3" customFormat="1" ht="171" customHeight="1" x14ac:dyDescent="0.25">
      <c r="A82" s="321"/>
      <c r="B82" s="321"/>
      <c r="C82" s="358"/>
      <c r="D82" s="358"/>
      <c r="E82" s="379"/>
      <c r="F82" s="358"/>
      <c r="G82" s="358"/>
      <c r="H82" s="346"/>
      <c r="I82" s="346"/>
      <c r="J82" s="349"/>
      <c r="K82" s="349"/>
      <c r="L82" s="349"/>
      <c r="M82" s="349"/>
      <c r="N82" s="352"/>
      <c r="O82" s="365"/>
      <c r="P82" s="343"/>
      <c r="Q82" s="343"/>
      <c r="R82" s="343"/>
      <c r="S82" s="343"/>
      <c r="T82" s="331"/>
      <c r="U82" s="331"/>
      <c r="V82" s="331"/>
      <c r="W82" s="340"/>
      <c r="X82" s="130" t="s">
        <v>890</v>
      </c>
      <c r="Y82" s="181" t="s">
        <v>891</v>
      </c>
      <c r="Z82" s="181" t="s">
        <v>882</v>
      </c>
      <c r="AA82" s="188">
        <v>0.14000000000000001</v>
      </c>
      <c r="AB82" s="202">
        <v>0.41</v>
      </c>
      <c r="AC82" s="228">
        <v>0.5</v>
      </c>
      <c r="AD82" s="202">
        <v>1</v>
      </c>
    </row>
    <row r="83" spans="1:30" s="3" customFormat="1" ht="93.75" customHeight="1" x14ac:dyDescent="0.25">
      <c r="A83" s="321"/>
      <c r="B83" s="321"/>
      <c r="C83" s="358"/>
      <c r="D83" s="358"/>
      <c r="E83" s="379"/>
      <c r="F83" s="358"/>
      <c r="G83" s="358"/>
      <c r="H83" s="346"/>
      <c r="I83" s="346"/>
      <c r="J83" s="349"/>
      <c r="K83" s="349"/>
      <c r="L83" s="349"/>
      <c r="M83" s="349"/>
      <c r="N83" s="352"/>
      <c r="O83" s="365"/>
      <c r="P83" s="343"/>
      <c r="Q83" s="343"/>
      <c r="R83" s="343"/>
      <c r="S83" s="343"/>
      <c r="T83" s="331"/>
      <c r="U83" s="331"/>
      <c r="V83" s="331"/>
      <c r="W83" s="340"/>
      <c r="X83" s="130" t="s">
        <v>892</v>
      </c>
      <c r="Y83" s="181" t="s">
        <v>893</v>
      </c>
      <c r="Z83" s="181" t="s">
        <v>882</v>
      </c>
      <c r="AA83" s="188">
        <v>0.2</v>
      </c>
      <c r="AB83" s="202">
        <v>0.28999999999999998</v>
      </c>
      <c r="AC83" s="228">
        <v>0.4</v>
      </c>
      <c r="AD83" s="202">
        <v>1</v>
      </c>
    </row>
    <row r="84" spans="1:30" s="3" customFormat="1" ht="96.75" customHeight="1" x14ac:dyDescent="0.25">
      <c r="A84" s="321"/>
      <c r="B84" s="321"/>
      <c r="C84" s="358"/>
      <c r="D84" s="358"/>
      <c r="E84" s="379"/>
      <c r="F84" s="358"/>
      <c r="G84" s="358"/>
      <c r="H84" s="346"/>
      <c r="I84" s="346"/>
      <c r="J84" s="349"/>
      <c r="K84" s="349"/>
      <c r="L84" s="349"/>
      <c r="M84" s="349"/>
      <c r="N84" s="352"/>
      <c r="O84" s="365"/>
      <c r="P84" s="343"/>
      <c r="Q84" s="343"/>
      <c r="R84" s="343"/>
      <c r="S84" s="343"/>
      <c r="T84" s="331"/>
      <c r="U84" s="331"/>
      <c r="V84" s="331"/>
      <c r="W84" s="340"/>
      <c r="X84" s="130" t="s">
        <v>894</v>
      </c>
      <c r="Y84" s="181" t="s">
        <v>895</v>
      </c>
      <c r="Z84" s="181" t="s">
        <v>700</v>
      </c>
      <c r="AA84" s="188">
        <v>0.18</v>
      </c>
      <c r="AB84" s="202">
        <v>0.25</v>
      </c>
      <c r="AC84" s="228">
        <v>0.72</v>
      </c>
      <c r="AD84" s="202">
        <v>0.72</v>
      </c>
    </row>
    <row r="85" spans="1:30" s="3" customFormat="1" ht="117" customHeight="1" x14ac:dyDescent="0.25">
      <c r="A85" s="321"/>
      <c r="B85" s="321"/>
      <c r="C85" s="358"/>
      <c r="D85" s="358"/>
      <c r="E85" s="379"/>
      <c r="F85" s="358"/>
      <c r="G85" s="358"/>
      <c r="H85" s="346"/>
      <c r="I85" s="346"/>
      <c r="J85" s="349"/>
      <c r="K85" s="349"/>
      <c r="L85" s="349"/>
      <c r="M85" s="349"/>
      <c r="N85" s="352"/>
      <c r="O85" s="365"/>
      <c r="P85" s="343"/>
      <c r="Q85" s="343"/>
      <c r="R85" s="343"/>
      <c r="S85" s="343"/>
      <c r="T85" s="331"/>
      <c r="U85" s="331"/>
      <c r="V85" s="331"/>
      <c r="W85" s="340"/>
      <c r="X85" s="130" t="s">
        <v>896</v>
      </c>
      <c r="Y85" s="181" t="s">
        <v>897</v>
      </c>
      <c r="Z85" s="181" t="s">
        <v>882</v>
      </c>
      <c r="AA85" s="188">
        <v>0.38</v>
      </c>
      <c r="AB85" s="202">
        <v>0.52</v>
      </c>
      <c r="AC85" s="228">
        <v>0.4</v>
      </c>
      <c r="AD85" s="202">
        <v>0.61</v>
      </c>
    </row>
    <row r="86" spans="1:30" s="3" customFormat="1" ht="83.25" customHeight="1" x14ac:dyDescent="0.25">
      <c r="A86" s="321"/>
      <c r="B86" s="321"/>
      <c r="C86" s="358"/>
      <c r="D86" s="358"/>
      <c r="E86" s="379"/>
      <c r="F86" s="358"/>
      <c r="G86" s="358"/>
      <c r="H86" s="346"/>
      <c r="I86" s="346"/>
      <c r="J86" s="349"/>
      <c r="K86" s="349"/>
      <c r="L86" s="349"/>
      <c r="M86" s="349"/>
      <c r="N86" s="352"/>
      <c r="O86" s="365"/>
      <c r="P86" s="343"/>
      <c r="Q86" s="343"/>
      <c r="R86" s="343"/>
      <c r="S86" s="343"/>
      <c r="T86" s="331"/>
      <c r="U86" s="331"/>
      <c r="V86" s="331"/>
      <c r="W86" s="340"/>
      <c r="X86" s="130" t="s">
        <v>898</v>
      </c>
      <c r="Y86" s="181" t="s">
        <v>899</v>
      </c>
      <c r="Z86" s="181" t="s">
        <v>882</v>
      </c>
      <c r="AA86" s="188">
        <v>0.33</v>
      </c>
      <c r="AB86" s="202">
        <v>0.42</v>
      </c>
      <c r="AC86" s="228">
        <v>0.41</v>
      </c>
      <c r="AD86" s="202">
        <v>0.69</v>
      </c>
    </row>
    <row r="87" spans="1:30" s="3" customFormat="1" ht="49.5" customHeight="1" x14ac:dyDescent="0.25">
      <c r="A87" s="321"/>
      <c r="B87" s="321"/>
      <c r="C87" s="358"/>
      <c r="D87" s="358"/>
      <c r="E87" s="379"/>
      <c r="F87" s="358"/>
      <c r="G87" s="358"/>
      <c r="H87" s="346"/>
      <c r="I87" s="346"/>
      <c r="J87" s="349"/>
      <c r="K87" s="349"/>
      <c r="L87" s="349"/>
      <c r="M87" s="349"/>
      <c r="N87" s="352"/>
      <c r="O87" s="365"/>
      <c r="P87" s="343"/>
      <c r="Q87" s="343"/>
      <c r="R87" s="343"/>
      <c r="S87" s="343"/>
      <c r="T87" s="331"/>
      <c r="U87" s="331"/>
      <c r="V87" s="331"/>
      <c r="W87" s="340"/>
      <c r="X87" s="130" t="s">
        <v>900</v>
      </c>
      <c r="Y87" s="181" t="s">
        <v>901</v>
      </c>
      <c r="Z87" s="181" t="s">
        <v>660</v>
      </c>
      <c r="AA87" s="188">
        <v>0.3</v>
      </c>
      <c r="AB87" s="202">
        <v>0.42</v>
      </c>
      <c r="AC87" s="228">
        <v>0.78</v>
      </c>
      <c r="AD87" s="202">
        <v>0.65</v>
      </c>
    </row>
    <row r="88" spans="1:30" s="3" customFormat="1" ht="60" customHeight="1" x14ac:dyDescent="0.25">
      <c r="A88" s="321"/>
      <c r="B88" s="321"/>
      <c r="C88" s="358"/>
      <c r="D88" s="358"/>
      <c r="E88" s="379"/>
      <c r="F88" s="358"/>
      <c r="G88" s="358"/>
      <c r="H88" s="346"/>
      <c r="I88" s="346"/>
      <c r="J88" s="349"/>
      <c r="K88" s="349"/>
      <c r="L88" s="349"/>
      <c r="M88" s="349"/>
      <c r="N88" s="352"/>
      <c r="O88" s="365"/>
      <c r="P88" s="343"/>
      <c r="Q88" s="343"/>
      <c r="R88" s="343"/>
      <c r="S88" s="343"/>
      <c r="T88" s="331"/>
      <c r="U88" s="331"/>
      <c r="V88" s="331"/>
      <c r="W88" s="340"/>
      <c r="X88" s="130" t="s">
        <v>902</v>
      </c>
      <c r="Y88" s="181" t="s">
        <v>903</v>
      </c>
      <c r="Z88" s="181" t="s">
        <v>882</v>
      </c>
      <c r="AA88" s="188">
        <v>0.26</v>
      </c>
      <c r="AB88" s="202">
        <v>0.59</v>
      </c>
      <c r="AC88" s="228">
        <v>0.7</v>
      </c>
      <c r="AD88" s="202">
        <v>1</v>
      </c>
    </row>
    <row r="89" spans="1:30" s="3" customFormat="1" ht="92.25" customHeight="1" x14ac:dyDescent="0.25">
      <c r="A89" s="321"/>
      <c r="B89" s="321"/>
      <c r="C89" s="358"/>
      <c r="D89" s="359"/>
      <c r="E89" s="379"/>
      <c r="F89" s="358"/>
      <c r="G89" s="359"/>
      <c r="H89" s="347"/>
      <c r="I89" s="347"/>
      <c r="J89" s="350"/>
      <c r="K89" s="350"/>
      <c r="L89" s="350"/>
      <c r="M89" s="350"/>
      <c r="N89" s="353"/>
      <c r="O89" s="366"/>
      <c r="P89" s="344"/>
      <c r="Q89" s="344"/>
      <c r="R89" s="344"/>
      <c r="S89" s="344"/>
      <c r="T89" s="338"/>
      <c r="U89" s="360"/>
      <c r="V89" s="360"/>
      <c r="W89" s="341"/>
      <c r="X89" s="213" t="s">
        <v>960</v>
      </c>
      <c r="Y89" s="181" t="s">
        <v>886</v>
      </c>
      <c r="Z89" s="4" t="s">
        <v>882</v>
      </c>
      <c r="AA89" s="188" t="s">
        <v>609</v>
      </c>
      <c r="AB89" s="157" t="s">
        <v>609</v>
      </c>
      <c r="AC89" s="228">
        <v>0.02</v>
      </c>
      <c r="AD89" s="157">
        <v>0.43</v>
      </c>
    </row>
    <row r="90" spans="1:30" s="3" customFormat="1" ht="67.5" customHeight="1" x14ac:dyDescent="0.25">
      <c r="A90" s="321"/>
      <c r="B90" s="321"/>
      <c r="C90" s="358"/>
      <c r="D90" s="178" t="s">
        <v>647</v>
      </c>
      <c r="E90" s="379"/>
      <c r="F90" s="358"/>
      <c r="G90" s="178" t="s">
        <v>20</v>
      </c>
      <c r="H90" s="345" t="s">
        <v>54</v>
      </c>
      <c r="I90" s="345">
        <v>0</v>
      </c>
      <c r="J90" s="348">
        <v>0.25</v>
      </c>
      <c r="K90" s="348">
        <v>0.25</v>
      </c>
      <c r="L90" s="348">
        <v>0.25</v>
      </c>
      <c r="M90" s="348">
        <v>0.25</v>
      </c>
      <c r="N90" s="348">
        <v>1</v>
      </c>
      <c r="O90" s="364" t="s">
        <v>55</v>
      </c>
      <c r="P90" s="374">
        <f>85%*0.25</f>
        <v>0.21249999999999999</v>
      </c>
      <c r="Q90" s="374">
        <f>90%*0.25</f>
        <v>0.22500000000000001</v>
      </c>
      <c r="R90" s="374">
        <f>96*0.25%</f>
        <v>0.24</v>
      </c>
      <c r="S90" s="374">
        <f>99*0.25%</f>
        <v>0.2475</v>
      </c>
      <c r="T90" s="339" t="s">
        <v>922</v>
      </c>
      <c r="U90" s="339" t="s">
        <v>935</v>
      </c>
      <c r="V90" s="372" t="s">
        <v>971</v>
      </c>
      <c r="W90" s="356" t="s">
        <v>1000</v>
      </c>
      <c r="X90" s="13" t="s">
        <v>991</v>
      </c>
      <c r="Y90" s="4" t="s">
        <v>904</v>
      </c>
      <c r="Z90" s="4" t="s">
        <v>882</v>
      </c>
      <c r="AA90" s="188">
        <v>0.25</v>
      </c>
      <c r="AB90" s="157">
        <v>0.41</v>
      </c>
      <c r="AC90" s="157">
        <v>0.64</v>
      </c>
      <c r="AD90" s="157">
        <v>1</v>
      </c>
    </row>
    <row r="91" spans="1:30" s="3" customFormat="1" ht="59.25" customHeight="1" x14ac:dyDescent="0.25">
      <c r="A91" s="321"/>
      <c r="B91" s="321"/>
      <c r="C91" s="358"/>
      <c r="D91" s="180"/>
      <c r="E91" s="379"/>
      <c r="F91" s="358"/>
      <c r="G91" s="179"/>
      <c r="H91" s="346"/>
      <c r="I91" s="346"/>
      <c r="J91" s="349"/>
      <c r="K91" s="349"/>
      <c r="L91" s="349"/>
      <c r="M91" s="349"/>
      <c r="N91" s="349"/>
      <c r="O91" s="365"/>
      <c r="P91" s="375"/>
      <c r="Q91" s="375"/>
      <c r="R91" s="375"/>
      <c r="S91" s="375"/>
      <c r="T91" s="340"/>
      <c r="U91" s="340"/>
      <c r="V91" s="377"/>
      <c r="W91" s="340"/>
      <c r="X91" s="13" t="s">
        <v>992</v>
      </c>
      <c r="Y91" s="4" t="s">
        <v>905</v>
      </c>
      <c r="Z91" s="4" t="s">
        <v>882</v>
      </c>
      <c r="AA91" s="188">
        <v>0.13</v>
      </c>
      <c r="AB91" s="163">
        <v>0.27</v>
      </c>
      <c r="AC91" s="163" t="s">
        <v>959</v>
      </c>
      <c r="AD91" s="163" t="s">
        <v>959</v>
      </c>
    </row>
    <row r="92" spans="1:30" s="3" customFormat="1" ht="409.6" customHeight="1" x14ac:dyDescent="0.25">
      <c r="A92" s="321"/>
      <c r="B92" s="321"/>
      <c r="C92" s="359"/>
      <c r="D92" s="160"/>
      <c r="E92" s="380"/>
      <c r="F92" s="359"/>
      <c r="G92" s="180"/>
      <c r="H92" s="347"/>
      <c r="I92" s="347"/>
      <c r="J92" s="350"/>
      <c r="K92" s="350"/>
      <c r="L92" s="350"/>
      <c r="M92" s="350"/>
      <c r="N92" s="350"/>
      <c r="O92" s="366"/>
      <c r="P92" s="376"/>
      <c r="Q92" s="376"/>
      <c r="R92" s="376"/>
      <c r="S92" s="376"/>
      <c r="T92" s="341"/>
      <c r="U92" s="341"/>
      <c r="V92" s="373"/>
      <c r="W92" s="341"/>
      <c r="X92" s="13" t="s">
        <v>906</v>
      </c>
      <c r="Y92" s="4" t="s">
        <v>907</v>
      </c>
      <c r="Z92" s="4" t="s">
        <v>882</v>
      </c>
      <c r="AA92" s="188">
        <v>0.33</v>
      </c>
      <c r="AB92" s="163">
        <v>0.71</v>
      </c>
      <c r="AC92" s="163">
        <v>0.86</v>
      </c>
      <c r="AD92" s="163">
        <v>0.99</v>
      </c>
    </row>
    <row r="93" spans="1:30" s="3" customFormat="1" ht="176.25" customHeight="1" x14ac:dyDescent="0.25">
      <c r="A93" s="321"/>
      <c r="B93" s="321"/>
      <c r="C93" s="162" t="s">
        <v>636</v>
      </c>
      <c r="D93" s="161" t="s">
        <v>648</v>
      </c>
      <c r="E93" s="167" t="s">
        <v>31</v>
      </c>
      <c r="F93" s="159" t="s">
        <v>22</v>
      </c>
      <c r="G93" s="151" t="s">
        <v>23</v>
      </c>
      <c r="H93" s="166" t="s">
        <v>25</v>
      </c>
      <c r="I93" s="166">
        <v>0</v>
      </c>
      <c r="J93" s="165">
        <v>0.25</v>
      </c>
      <c r="K93" s="165">
        <v>0.25</v>
      </c>
      <c r="L93" s="165">
        <v>0.25</v>
      </c>
      <c r="M93" s="165">
        <v>0.25</v>
      </c>
      <c r="N93" s="235">
        <v>1</v>
      </c>
      <c r="O93" s="194" t="s">
        <v>46</v>
      </c>
      <c r="P93" s="168">
        <f>87%*0.25</f>
        <v>0.2175</v>
      </c>
      <c r="Q93" s="168">
        <f>94%*0.25</f>
        <v>0.23499999999999999</v>
      </c>
      <c r="R93" s="168">
        <f>97*0.25%</f>
        <v>0.24249999999999999</v>
      </c>
      <c r="S93" s="168">
        <f>100*0.25%</f>
        <v>0.25</v>
      </c>
      <c r="T93" s="164" t="s">
        <v>923</v>
      </c>
      <c r="U93" s="164" t="s">
        <v>936</v>
      </c>
      <c r="V93" s="214" t="s">
        <v>961</v>
      </c>
      <c r="W93" s="169" t="s">
        <v>978</v>
      </c>
      <c r="X93" s="54" t="s">
        <v>908</v>
      </c>
      <c r="Y93" s="100" t="s">
        <v>241</v>
      </c>
      <c r="Z93" s="100" t="s">
        <v>700</v>
      </c>
      <c r="AA93" s="184">
        <v>0.05</v>
      </c>
      <c r="AB93" s="157">
        <v>0.54</v>
      </c>
      <c r="AC93" s="157">
        <v>0.77</v>
      </c>
      <c r="AD93" s="157">
        <v>1</v>
      </c>
    </row>
    <row r="94" spans="1:30" s="3" customFormat="1" ht="180" customHeight="1" x14ac:dyDescent="0.25">
      <c r="A94" s="313" t="s">
        <v>628</v>
      </c>
      <c r="B94" s="313" t="s">
        <v>629</v>
      </c>
      <c r="C94" s="127" t="s">
        <v>630</v>
      </c>
      <c r="D94" s="150" t="s">
        <v>623</v>
      </c>
      <c r="E94" s="156" t="s">
        <v>30</v>
      </c>
      <c r="F94" s="151" t="s">
        <v>27</v>
      </c>
      <c r="G94" s="151" t="s">
        <v>28</v>
      </c>
      <c r="H94" s="153" t="s">
        <v>52</v>
      </c>
      <c r="I94" s="153">
        <v>0</v>
      </c>
      <c r="J94" s="152">
        <v>0.25</v>
      </c>
      <c r="K94" s="152">
        <v>0.25</v>
      </c>
      <c r="L94" s="152">
        <v>0.25</v>
      </c>
      <c r="M94" s="152">
        <v>0.25</v>
      </c>
      <c r="N94" s="235">
        <v>1</v>
      </c>
      <c r="O94" s="194" t="s">
        <v>47</v>
      </c>
      <c r="P94" s="155">
        <f>83%*0.25</f>
        <v>0.20749999999999999</v>
      </c>
      <c r="Q94" s="155">
        <f>88%*0.25</f>
        <v>0.22</v>
      </c>
      <c r="R94" s="155">
        <f>91*0.25%</f>
        <v>0.22750000000000001</v>
      </c>
      <c r="S94" s="155">
        <f>100*0.25%</f>
        <v>0.25</v>
      </c>
      <c r="T94" s="177" t="s">
        <v>924</v>
      </c>
      <c r="U94" s="154" t="s">
        <v>937</v>
      </c>
      <c r="V94" s="190" t="s">
        <v>962</v>
      </c>
      <c r="W94" s="158" t="s">
        <v>1004</v>
      </c>
      <c r="X94" s="13" t="s">
        <v>244</v>
      </c>
      <c r="Y94" s="100" t="s">
        <v>246</v>
      </c>
      <c r="Z94" s="100" t="s">
        <v>74</v>
      </c>
      <c r="AA94" s="157">
        <v>0.75</v>
      </c>
      <c r="AB94" s="157">
        <v>0.83</v>
      </c>
      <c r="AC94" s="157">
        <v>0.87</v>
      </c>
      <c r="AD94" s="157">
        <v>1</v>
      </c>
    </row>
    <row r="95" spans="1:30" s="3" customFormat="1" ht="174" customHeight="1" x14ac:dyDescent="0.25">
      <c r="A95" s="313"/>
      <c r="B95" s="313"/>
      <c r="C95" s="201" t="s">
        <v>633</v>
      </c>
      <c r="D95" s="209"/>
      <c r="E95" s="210" t="s">
        <v>30</v>
      </c>
      <c r="F95" s="201" t="s">
        <v>271</v>
      </c>
      <c r="G95" s="201" t="s">
        <v>272</v>
      </c>
      <c r="H95" s="207" t="s">
        <v>273</v>
      </c>
      <c r="I95" s="207">
        <v>0</v>
      </c>
      <c r="J95" s="203">
        <v>0.25</v>
      </c>
      <c r="K95" s="203">
        <v>0.25</v>
      </c>
      <c r="L95" s="203">
        <v>0.25</v>
      </c>
      <c r="M95" s="203">
        <v>0.25</v>
      </c>
      <c r="N95" s="235">
        <v>1</v>
      </c>
      <c r="O95" s="206" t="s">
        <v>274</v>
      </c>
      <c r="P95" s="204">
        <f>64%*0.25</f>
        <v>0.16</v>
      </c>
      <c r="Q95" s="211">
        <f>72%*0.25</f>
        <v>0.18</v>
      </c>
      <c r="R95" s="204">
        <f>90*0.25%</f>
        <v>0.22500000000000001</v>
      </c>
      <c r="S95" s="204">
        <f>100*0.25%</f>
        <v>0.25</v>
      </c>
      <c r="T95" s="205" t="s">
        <v>927</v>
      </c>
      <c r="U95" s="205" t="s">
        <v>946</v>
      </c>
      <c r="V95" s="208" t="s">
        <v>963</v>
      </c>
      <c r="W95" s="217" t="s">
        <v>985</v>
      </c>
      <c r="X95" s="189" t="s">
        <v>943</v>
      </c>
      <c r="Y95" s="75" t="s">
        <v>944</v>
      </c>
      <c r="Z95" s="22" t="s">
        <v>761</v>
      </c>
      <c r="AA95" s="149" t="s">
        <v>713</v>
      </c>
      <c r="AB95" s="149">
        <v>0.9</v>
      </c>
      <c r="AC95" s="149">
        <v>0.95</v>
      </c>
      <c r="AD95" s="149">
        <v>1</v>
      </c>
    </row>
  </sheetData>
  <autoFilter ref="A5:AE95"/>
  <mergeCells count="299">
    <mergeCell ref="AB41:AB42"/>
    <mergeCell ref="AC41:AC42"/>
    <mergeCell ref="AD41:AD42"/>
    <mergeCell ref="X43:X44"/>
    <mergeCell ref="Y43:Y44"/>
    <mergeCell ref="Z43:Z44"/>
    <mergeCell ref="AA43:AA44"/>
    <mergeCell ref="AB43:AB44"/>
    <mergeCell ref="AC43:AC44"/>
    <mergeCell ref="AD43:AD44"/>
    <mergeCell ref="X41:X42"/>
    <mergeCell ref="AB24:AB25"/>
    <mergeCell ref="AC24:AC25"/>
    <mergeCell ref="AD24:AD25"/>
    <mergeCell ref="AD38:AD40"/>
    <mergeCell ref="Z38:Z40"/>
    <mergeCell ref="Y38:Y40"/>
    <mergeCell ref="AC38:AC40"/>
    <mergeCell ref="AB38:AB40"/>
    <mergeCell ref="AA38:AA40"/>
    <mergeCell ref="Z30:Z32"/>
    <mergeCell ref="AA30:AA32"/>
    <mergeCell ref="AB30:AB32"/>
    <mergeCell ref="AC30:AC32"/>
    <mergeCell ref="AD30:AD32"/>
    <mergeCell ref="Y30:Y32"/>
    <mergeCell ref="Y33:Y34"/>
    <mergeCell ref="Z33:Z34"/>
    <mergeCell ref="AA33:AA34"/>
    <mergeCell ref="AB33:AB34"/>
    <mergeCell ref="AC33:AC34"/>
    <mergeCell ref="AD33:AD34"/>
    <mergeCell ref="AB22:AB23"/>
    <mergeCell ref="AC22:AC23"/>
    <mergeCell ref="AD22:AD23"/>
    <mergeCell ref="X22:X23"/>
    <mergeCell ref="A1:D2"/>
    <mergeCell ref="E1:AC3"/>
    <mergeCell ref="A3:C3"/>
    <mergeCell ref="A4:G4"/>
    <mergeCell ref="H4:O4"/>
    <mergeCell ref="P4:S4"/>
    <mergeCell ref="T4:W4"/>
    <mergeCell ref="X4:Z4"/>
    <mergeCell ref="AA4:AD4"/>
    <mergeCell ref="E6:E66"/>
    <mergeCell ref="G18:G47"/>
    <mergeCell ref="H20:H25"/>
    <mergeCell ref="I20:I25"/>
    <mergeCell ref="J20:J25"/>
    <mergeCell ref="K20:K25"/>
    <mergeCell ref="L20:L25"/>
    <mergeCell ref="M20:M25"/>
    <mergeCell ref="X24:X25"/>
    <mergeCell ref="Z24:Z25"/>
    <mergeCell ref="AA24:AA25"/>
    <mergeCell ref="Z22:Z23"/>
    <mergeCell ref="AA22:AA23"/>
    <mergeCell ref="R30:R45"/>
    <mergeCell ref="Q30:Q45"/>
    <mergeCell ref="Z41:Z42"/>
    <mergeCell ref="AA41:AA42"/>
    <mergeCell ref="S30:S45"/>
    <mergeCell ref="T30:T45"/>
    <mergeCell ref="Y22:Y23"/>
    <mergeCell ref="Y24:Y25"/>
    <mergeCell ref="X38:X40"/>
    <mergeCell ref="X30:X32"/>
    <mergeCell ref="X33:X34"/>
    <mergeCell ref="Y41:Y42"/>
    <mergeCell ref="U30:U45"/>
    <mergeCell ref="V30:V45"/>
    <mergeCell ref="W30:W45"/>
    <mergeCell ref="U20:U25"/>
    <mergeCell ref="V20:V25"/>
    <mergeCell ref="W20:W25"/>
    <mergeCell ref="R20:R25"/>
    <mergeCell ref="S20:S25"/>
    <mergeCell ref="T26:T29"/>
    <mergeCell ref="U26:U29"/>
    <mergeCell ref="I26:I27"/>
    <mergeCell ref="J26:J27"/>
    <mergeCell ref="K26:K27"/>
    <mergeCell ref="L26:L27"/>
    <mergeCell ref="M26:M27"/>
    <mergeCell ref="N20:N25"/>
    <mergeCell ref="O20:O25"/>
    <mergeCell ref="P20:P25"/>
    <mergeCell ref="Q20:Q25"/>
    <mergeCell ref="T20:T25"/>
    <mergeCell ref="N26:N27"/>
    <mergeCell ref="O26:O27"/>
    <mergeCell ref="V26:V29"/>
    <mergeCell ref="W26:W29"/>
    <mergeCell ref="L30:L45"/>
    <mergeCell ref="M30:M45"/>
    <mergeCell ref="G48:G66"/>
    <mergeCell ref="D30:D45"/>
    <mergeCell ref="H30:H45"/>
    <mergeCell ref="I30:I45"/>
    <mergeCell ref="J30:J45"/>
    <mergeCell ref="K30:K45"/>
    <mergeCell ref="F6:F66"/>
    <mergeCell ref="I63:I66"/>
    <mergeCell ref="J63:J66"/>
    <mergeCell ref="K63:K66"/>
    <mergeCell ref="L63:L66"/>
    <mergeCell ref="K16:K17"/>
    <mergeCell ref="L16:L17"/>
    <mergeCell ref="M16:M17"/>
    <mergeCell ref="L46:L47"/>
    <mergeCell ref="I16:I17"/>
    <mergeCell ref="J16:J17"/>
    <mergeCell ref="V52:V62"/>
    <mergeCell ref="W52:W62"/>
    <mergeCell ref="Q52:Q62"/>
    <mergeCell ref="N30:N45"/>
    <mergeCell ref="O30:O45"/>
    <mergeCell ref="P30:P45"/>
    <mergeCell ref="P52:P62"/>
    <mergeCell ref="N46:N47"/>
    <mergeCell ref="O46:O47"/>
    <mergeCell ref="P46:P47"/>
    <mergeCell ref="T48:T51"/>
    <mergeCell ref="U48:U51"/>
    <mergeCell ref="R52:R62"/>
    <mergeCell ref="T46:T47"/>
    <mergeCell ref="U46:U47"/>
    <mergeCell ref="V46:V47"/>
    <mergeCell ref="W46:W47"/>
    <mergeCell ref="Q46:Q47"/>
    <mergeCell ref="R46:R47"/>
    <mergeCell ref="S46:S47"/>
    <mergeCell ref="I48:I51"/>
    <mergeCell ref="J48:J51"/>
    <mergeCell ref="K48:K51"/>
    <mergeCell ref="L48:L51"/>
    <mergeCell ref="Q48:Q51"/>
    <mergeCell ref="R48:R51"/>
    <mergeCell ref="S52:S62"/>
    <mergeCell ref="T52:T62"/>
    <mergeCell ref="U52:U62"/>
    <mergeCell ref="C30:C45"/>
    <mergeCell ref="G16:G17"/>
    <mergeCell ref="H16:H17"/>
    <mergeCell ref="U63:U66"/>
    <mergeCell ref="V63:V66"/>
    <mergeCell ref="W63:W66"/>
    <mergeCell ref="Q63:Q66"/>
    <mergeCell ref="R63:R66"/>
    <mergeCell ref="M63:M66"/>
    <mergeCell ref="N63:N66"/>
    <mergeCell ref="O63:O66"/>
    <mergeCell ref="P63:P66"/>
    <mergeCell ref="V48:V51"/>
    <mergeCell ref="W48:W51"/>
    <mergeCell ref="H52:H62"/>
    <mergeCell ref="I52:I62"/>
    <mergeCell ref="J52:J62"/>
    <mergeCell ref="K52:K62"/>
    <mergeCell ref="L52:L62"/>
    <mergeCell ref="M48:M51"/>
    <mergeCell ref="N48:N51"/>
    <mergeCell ref="O48:O51"/>
    <mergeCell ref="P48:P51"/>
    <mergeCell ref="H48:H51"/>
    <mergeCell ref="A94:A95"/>
    <mergeCell ref="B94:B95"/>
    <mergeCell ref="G70:G73"/>
    <mergeCell ref="H70:H75"/>
    <mergeCell ref="I70:I75"/>
    <mergeCell ref="A67:A93"/>
    <mergeCell ref="B67:B93"/>
    <mergeCell ref="C67:C75"/>
    <mergeCell ref="D67:D69"/>
    <mergeCell ref="E67:E75"/>
    <mergeCell ref="H67:H69"/>
    <mergeCell ref="A6:A66"/>
    <mergeCell ref="B6:B66"/>
    <mergeCell ref="E76:E92"/>
    <mergeCell ref="C76:C92"/>
    <mergeCell ref="F76:F92"/>
    <mergeCell ref="I90:I92"/>
    <mergeCell ref="D71:D72"/>
    <mergeCell ref="D76:D89"/>
    <mergeCell ref="R70:R75"/>
    <mergeCell ref="F67:F75"/>
    <mergeCell ref="G67:G69"/>
    <mergeCell ref="G76:G89"/>
    <mergeCell ref="H76:H89"/>
    <mergeCell ref="I76:I89"/>
    <mergeCell ref="I67:I69"/>
    <mergeCell ref="C46:C66"/>
    <mergeCell ref="D46:D66"/>
    <mergeCell ref="G6:G12"/>
    <mergeCell ref="D6:D12"/>
    <mergeCell ref="C6:C12"/>
    <mergeCell ref="D13:D27"/>
    <mergeCell ref="C13:C27"/>
    <mergeCell ref="G13:G15"/>
    <mergeCell ref="H63:H66"/>
    <mergeCell ref="S70:S75"/>
    <mergeCell ref="K70:K75"/>
    <mergeCell ref="L70:L75"/>
    <mergeCell ref="M70:M75"/>
    <mergeCell ref="N70:N75"/>
    <mergeCell ref="O70:O75"/>
    <mergeCell ref="P70:P75"/>
    <mergeCell ref="J67:J69"/>
    <mergeCell ref="J76:J89"/>
    <mergeCell ref="L67:L69"/>
    <mergeCell ref="M67:M69"/>
    <mergeCell ref="N67:N69"/>
    <mergeCell ref="O67:O69"/>
    <mergeCell ref="P67:P69"/>
    <mergeCell ref="Q70:Q75"/>
    <mergeCell ref="W90:W92"/>
    <mergeCell ref="L90:L92"/>
    <mergeCell ref="M90:M92"/>
    <mergeCell ref="N90:N92"/>
    <mergeCell ref="O90:O92"/>
    <mergeCell ref="P90:P92"/>
    <mergeCell ref="Q90:Q92"/>
    <mergeCell ref="R90:R92"/>
    <mergeCell ref="S90:S92"/>
    <mergeCell ref="U90:U92"/>
    <mergeCell ref="V90:V92"/>
    <mergeCell ref="W76:W89"/>
    <mergeCell ref="U67:U69"/>
    <mergeCell ref="V67:V69"/>
    <mergeCell ref="W67:W69"/>
    <mergeCell ref="N16:N17"/>
    <mergeCell ref="O16:O17"/>
    <mergeCell ref="W6:W15"/>
    <mergeCell ref="S6:S15"/>
    <mergeCell ref="P6:P15"/>
    <mergeCell ref="Q6:Q15"/>
    <mergeCell ref="R6:R15"/>
    <mergeCell ref="U16:U17"/>
    <mergeCell ref="V16:V17"/>
    <mergeCell ref="W16:W17"/>
    <mergeCell ref="R16:R17"/>
    <mergeCell ref="S16:S17"/>
    <mergeCell ref="T16:T17"/>
    <mergeCell ref="T6:T15"/>
    <mergeCell ref="S76:S89"/>
    <mergeCell ref="T76:T89"/>
    <mergeCell ref="N76:N89"/>
    <mergeCell ref="O76:O89"/>
    <mergeCell ref="R67:R69"/>
    <mergeCell ref="S67:S69"/>
    <mergeCell ref="U6:U15"/>
    <mergeCell ref="V6:V15"/>
    <mergeCell ref="H90:H92"/>
    <mergeCell ref="O6:O15"/>
    <mergeCell ref="J6:J15"/>
    <mergeCell ref="K6:K15"/>
    <mergeCell ref="L6:L15"/>
    <mergeCell ref="M6:M15"/>
    <mergeCell ref="N6:N15"/>
    <mergeCell ref="I6:I15"/>
    <mergeCell ref="H6:H15"/>
    <mergeCell ref="K67:K69"/>
    <mergeCell ref="M52:M62"/>
    <mergeCell ref="N52:N62"/>
    <mergeCell ref="O52:O62"/>
    <mergeCell ref="H46:H47"/>
    <mergeCell ref="I46:I47"/>
    <mergeCell ref="J46:J47"/>
    <mergeCell ref="K46:K47"/>
    <mergeCell ref="U76:U89"/>
    <mergeCell ref="V76:V89"/>
    <mergeCell ref="R76:R89"/>
    <mergeCell ref="U70:U75"/>
    <mergeCell ref="V70:V75"/>
    <mergeCell ref="W70:W75"/>
    <mergeCell ref="M46:M47"/>
    <mergeCell ref="T90:T92"/>
    <mergeCell ref="P16:P17"/>
    <mergeCell ref="Q16:Q17"/>
    <mergeCell ref="H26:H29"/>
    <mergeCell ref="P26:P29"/>
    <mergeCell ref="Q26:Q29"/>
    <mergeCell ref="R26:R29"/>
    <mergeCell ref="S26:S29"/>
    <mergeCell ref="T67:T69"/>
    <mergeCell ref="T63:T66"/>
    <mergeCell ref="S48:S51"/>
    <mergeCell ref="J90:J92"/>
    <mergeCell ref="K90:K92"/>
    <mergeCell ref="K76:K89"/>
    <mergeCell ref="L76:L89"/>
    <mergeCell ref="M76:M89"/>
    <mergeCell ref="P76:P89"/>
    <mergeCell ref="T70:T75"/>
    <mergeCell ref="Q67:Q69"/>
    <mergeCell ref="J70:J75"/>
    <mergeCell ref="S63:S66"/>
    <mergeCell ref="Q76:Q8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2015</vt:lpstr>
      <vt:lpstr>2016</vt:lpstr>
      <vt:lpstr>2017</vt:lpstr>
      <vt:lpstr>2018</vt:lpstr>
      <vt:lpstr>'2016'!Área_de_impresión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Camilo Rodriguez Artunduaga</dc:creator>
  <cp:lastModifiedBy>Jina Marcela Lozano Bedoya</cp:lastModifiedBy>
  <cp:lastPrinted>2017-03-17T13:20:34Z</cp:lastPrinted>
  <dcterms:created xsi:type="dcterms:W3CDTF">2015-04-07T20:00:41Z</dcterms:created>
  <dcterms:modified xsi:type="dcterms:W3CDTF">2019-04-05T15:40:36Z</dcterms:modified>
</cp:coreProperties>
</file>